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252" windowWidth="22980" windowHeight="9348" tabRatio="897"/>
  </bookViews>
  <sheets>
    <sheet name="Основное" sheetId="4" r:id="rId1"/>
    <sheet name="Аэротеургия" sheetId="5" r:id="rId2"/>
    <sheet name="Геомантия" sheetId="6" r:id="rId3"/>
    <sheet name="Гидрософистика" sheetId="7" r:id="rId4"/>
    <sheet name="Колдовство" sheetId="8" r:id="rId5"/>
    <sheet name="Ополченец" sheetId="10" r:id="rId6"/>
    <sheet name="Опытный стрелок" sheetId="11" r:id="rId7"/>
    <sheet name="Пирокинетика" sheetId="9" r:id="rId8"/>
    <sheet name="Преступник" sheetId="13" r:id="rId9"/>
    <sheet name="Эффекты" sheetId="27" r:id="rId10"/>
    <sheet name="Бафы" sheetId="20" r:id="rId11"/>
    <sheet name="Дебафы" sheetId="21" r:id="rId12"/>
    <sheet name="Поверхности" sheetId="34" r:id="rId13"/>
    <sheet name="Поверхности1" sheetId="36" state="hidden" r:id="rId14"/>
    <sheet name="Поверхности2" sheetId="39" state="hidden" r:id="rId15"/>
    <sheet name="Поверхности3" sheetId="41" state="hidden" r:id="rId16"/>
  </sheets>
  <definedNames>
    <definedName name="_xlnm._FilterDatabase" localSheetId="1" hidden="1">Аэротеургия!$A$7:$O$27</definedName>
    <definedName name="_xlnm._FilterDatabase" localSheetId="2" hidden="1">Геомантия!$A$7:$O$27</definedName>
    <definedName name="_xlnm._FilterDatabase" localSheetId="3" hidden="1">Гидрософистика!$A$7:$O$27</definedName>
    <definedName name="_xlnm._FilterDatabase" localSheetId="4" hidden="1">Колдовство!$A$7:$O$27</definedName>
    <definedName name="_xlnm._FilterDatabase" localSheetId="5" hidden="1">Ополченец!$A$7:$O$27</definedName>
    <definedName name="_xlnm._FilterDatabase" localSheetId="6" hidden="1">'Опытный стрелок'!$A$7:$O$27</definedName>
    <definedName name="_xlnm._FilterDatabase" localSheetId="7" hidden="1">Пирокинетика!$A$7:$O$27</definedName>
    <definedName name="_xlnm._FilterDatabase" localSheetId="8" hidden="1">Преступник!$A$7:$O$27</definedName>
    <definedName name="навык">OFFSET(Поверхности1!$L$2,MATCH(1,INDEX((Поверхности!$H$6=Поверхности1!$K$2:$K$81)*(Поверхности!$H$10=Поверхности1!$L$2:$L$81),),)-1,2,COUNTIFS(Поверхности1!$K$2:$K$81,Поверхности!$H$6,Поверхности1!$L$2:$L$81,Поверхности!$H$10),1)</definedName>
    <definedName name="навыки">OFFSET(Поверхности1!$N$2,MATCH(Поверхности!$H$14,Поверхности1!$N$2:$N$81,0)-1,-1,1,1)</definedName>
    <definedName name="навыки0">IF(COUNTIF(Поверхности1!$N$2:$N$81,Поверхности!$H$14)&gt;0,навыки,Поверхности1!$M$81)</definedName>
    <definedName name="результат">INDEX(Поверхности2!XEV1:M58,MATCH(Поверхности!XFB13,Поверхности2!XEU1:XEU58,0),MATCH(Поверхности!XEW1,Поверхности2!XEV1048576:M1048576,0))</definedName>
    <definedName name="результат0">IF(OR(Поверхности!$C$2=0,Поверхности!$H$14=0),"",результат)</definedName>
    <definedName name="способности">OFFSET(Поверхности1!$P$2,MATCH(Поверхности!$H$6,Поверхности1!$P$2:$P$24,0)-1,1,COUNTIF(Поверхности1!$P$2:$P$24,Поверхности!$H$6),1)</definedName>
    <definedName name="стихии">OFFSET(Поверхности1!$H$2,MATCH(Поверхности!$H$6,Поверхности1!$H$2:$H$8,0)-1,-1,1,1)</definedName>
    <definedName name="стихии0">IF(OR(Поверхности!$H$6=Поверхности1!$H$2,Поверхности!$H$6=Поверхности1!$H$3,Поверхности!$H$6=Поверхности1!$H$4,Поверхности!$H$6=Поверхности1!$H$5,Поверхности!$H$6=Поверхности1!$H$6,Поверхности!$H$6=Поверхности1!$H$7,Поверхности!$H$6=Поверхности1!$H$8),стихии,Поверхности1!$G$8)</definedName>
    <definedName name="эффекты1">OFFSET(Поверхности1!$E$2,MATCH(Поверхности!$D$5,Поверхности1!$E$2:$E$10,0)-1,-1,1,1)</definedName>
    <definedName name="эффекты2">OFFSET(Поверхности1!$E$2,MATCH(Поверхности!$D$6,Поверхности1!$E$2:$E$10,0)-1,-1,1,1)</definedName>
    <definedName name="эффекты3">OFFSET(Поверхности1!$E$2,MATCH(Поверхности!$D$7,Поверхности1!$E$2:$E$10,0)-1,-1,1,1)</definedName>
    <definedName name="эффекты4">OFFSET(Поверхности1!$E$2,MATCH(Поверхности!$L$5,Поверхности1!$E$2:$E$10,0)-1,-1,1,1)</definedName>
    <definedName name="эффекты5">OFFSET(Поверхности1!$E$2,MATCH(Поверхности!$L$6,Поверхности1!$E$2:$E$10,0)-1,-1,1,1)</definedName>
    <definedName name="эффекты6">OFFSET(Поверхности1!$E$2,MATCH(Поверхности!$L$7,Поверхности1!$E$2:$E$10,0)-1,-1,1,1)</definedName>
    <definedName name="эффекты7">OFFSET(Поверхности1!$E$2,MATCH(Поверхности!$L$13,Поверхности1!$E$2:$E$10,0)-1,-1,1,1)</definedName>
    <definedName name="эффекты8">OFFSET(Поверхности1!$E$2,MATCH(Поверхности!$L$14,Поверхности1!$E$2:$E$10,0)-1,-1,1,1)</definedName>
    <definedName name="эффекты9">OFFSET(Поверхности1!$E$2,MATCH(Поверхности!$L$15,Поверхности1!$E$2:$E$10,0)-1,-1,1,1)</definedName>
    <definedName name="эффектыдоп1">OFFSET(Поверхности3!$H$15,MATCH(Поверхности!$L$17,Поверхности3!$H$15:$H$22,0)-1,-1,1,1)</definedName>
    <definedName name="эффектыдоп2">OFFSET(Поверхности3!$H$15,MATCH(Поверхности!$L$18,Поверхности3!$H$15:$H$22,0)-1,-1,1,1)</definedName>
    <definedName name="эффектыдоп3">OFFSET(Поверхности3!$H$15,MATCH(Поверхности!$L$19,Поверхности3!$H$15:$H$22,0)-1,-1,1,1)</definedName>
    <definedName name="эффектыдоп4">OFFSET(Поверхности3!$H$15,MATCH(Поверхности!$L$20,Поверхности3!$H$15:$H$22,0)-1,-1,1,1)</definedName>
  </definedNames>
  <calcPr calcId="145621"/>
</workbook>
</file>

<file path=xl/calcChain.xml><?xml version="1.0" encoding="utf-8"?>
<calcChain xmlns="http://schemas.openxmlformats.org/spreadsheetml/2006/main">
  <c r="L4" i="13" l="1"/>
  <c r="L4" i="9"/>
  <c r="L4" i="11"/>
  <c r="L4" i="8"/>
  <c r="L4" i="7"/>
  <c r="N2" i="4"/>
  <c r="C5" i="4"/>
  <c r="T2" i="4"/>
  <c r="W2" i="4" s="1"/>
  <c r="L4" i="10" l="1"/>
  <c r="H21" i="41" l="1"/>
  <c r="D15" i="41"/>
  <c r="D16" i="41"/>
  <c r="D18" i="41"/>
  <c r="D19" i="41"/>
  <c r="D21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L19" i="34"/>
  <c r="J19" i="34" s="1"/>
  <c r="D37" i="41"/>
  <c r="D36" i="41"/>
  <c r="A36" i="41"/>
  <c r="L20" i="34" l="1"/>
  <c r="J20" i="34" s="1"/>
  <c r="L18" i="34"/>
  <c r="J18" i="34" s="1"/>
  <c r="L17" i="34"/>
  <c r="J17" i="34" s="1"/>
  <c r="H13" i="34" l="1"/>
  <c r="E82" i="36"/>
  <c r="E93" i="36"/>
  <c r="E91" i="36"/>
  <c r="E89" i="36"/>
  <c r="E87" i="36"/>
  <c r="E85" i="36"/>
  <c r="E84" i="36"/>
  <c r="H9" i="34"/>
  <c r="E21" i="36"/>
  <c r="H15" i="34" l="1"/>
  <c r="H12" i="34"/>
  <c r="H5" i="34"/>
  <c r="K2" i="34"/>
  <c r="N47" i="36" l="1"/>
  <c r="L17" i="36" l="1"/>
  <c r="N17" i="36"/>
  <c r="P24" i="36"/>
  <c r="D16" i="34"/>
  <c r="B16" i="34"/>
  <c r="D13" i="34"/>
  <c r="D14" i="34"/>
  <c r="D15" i="34"/>
  <c r="D6" i="34"/>
  <c r="D5" i="34"/>
  <c r="B12" i="34"/>
  <c r="B13" i="34"/>
  <c r="B14" i="34"/>
  <c r="B15" i="34"/>
  <c r="D12" i="34"/>
  <c r="B17" i="34"/>
  <c r="B18" i="34"/>
  <c r="D18" i="34"/>
  <c r="D17" i="34"/>
  <c r="K10" i="34" l="1"/>
  <c r="L14" i="34" s="1"/>
  <c r="B23" i="36"/>
  <c r="W58" i="39"/>
  <c r="W54" i="39"/>
  <c r="W53" i="39"/>
  <c r="W57" i="39"/>
  <c r="W56" i="39"/>
  <c r="W55" i="39"/>
  <c r="W52" i="39"/>
  <c r="W51" i="39"/>
  <c r="W50" i="39"/>
  <c r="W49" i="39"/>
  <c r="W48" i="39"/>
  <c r="W47" i="39"/>
  <c r="W46" i="39"/>
  <c r="W45" i="39"/>
  <c r="W44" i="39"/>
  <c r="W43" i="39"/>
  <c r="W42" i="39"/>
  <c r="W41" i="39"/>
  <c r="W40" i="39"/>
  <c r="W39" i="39"/>
  <c r="W38" i="39"/>
  <c r="W37" i="39"/>
  <c r="W36" i="39"/>
  <c r="W35" i="39"/>
  <c r="W34" i="39"/>
  <c r="W33" i="39"/>
  <c r="W32" i="39"/>
  <c r="W31" i="39"/>
  <c r="W30" i="39"/>
  <c r="W29" i="39"/>
  <c r="W28" i="39"/>
  <c r="W27" i="39"/>
  <c r="W26" i="39"/>
  <c r="W25" i="39"/>
  <c r="W24" i="39"/>
  <c r="W23" i="39"/>
  <c r="W22" i="39"/>
  <c r="W21" i="39"/>
  <c r="W20" i="39"/>
  <c r="W19" i="39"/>
  <c r="W18" i="39"/>
  <c r="W17" i="39"/>
  <c r="W16" i="39"/>
  <c r="W15" i="39"/>
  <c r="W14" i="39"/>
  <c r="W13" i="39"/>
  <c r="W12" i="39"/>
  <c r="W11" i="39"/>
  <c r="W10" i="39"/>
  <c r="W9" i="39"/>
  <c r="W8" i="39"/>
  <c r="W7" i="39"/>
  <c r="W6" i="39"/>
  <c r="W5" i="39"/>
  <c r="W4" i="39"/>
  <c r="W3" i="39"/>
  <c r="W2" i="39"/>
  <c r="W1" i="39"/>
  <c r="V59" i="39"/>
  <c r="U59" i="39"/>
  <c r="T59" i="39"/>
  <c r="S59" i="39"/>
  <c r="R59" i="39"/>
  <c r="Q59" i="39"/>
  <c r="P59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C59" i="39"/>
  <c r="B59" i="39"/>
  <c r="A59" i="39"/>
  <c r="W59" i="39"/>
  <c r="N31" i="36"/>
  <c r="N28" i="36"/>
  <c r="N26" i="36"/>
  <c r="N34" i="36"/>
  <c r="N54" i="36"/>
  <c r="N51" i="36"/>
  <c r="N49" i="36"/>
  <c r="N77" i="36"/>
  <c r="N75" i="36"/>
  <c r="N73" i="36"/>
  <c r="N71" i="36"/>
  <c r="N65" i="36"/>
  <c r="N68" i="36"/>
  <c r="N79" i="36"/>
  <c r="N32" i="36"/>
  <c r="L32" i="36"/>
  <c r="Q8" i="36"/>
  <c r="Q4" i="36"/>
  <c r="Q14" i="36"/>
  <c r="L5" i="34" l="1"/>
  <c r="L6" i="34"/>
  <c r="L13" i="34"/>
  <c r="L15" i="34"/>
  <c r="H7" i="36"/>
  <c r="K81" i="36"/>
  <c r="N16" i="36"/>
  <c r="N12" i="36"/>
  <c r="N55" i="36"/>
  <c r="N80" i="36"/>
  <c r="L55" i="36"/>
  <c r="L80" i="36"/>
  <c r="N69" i="36"/>
  <c r="L69" i="36"/>
  <c r="N81" i="36"/>
  <c r="L81" i="36"/>
  <c r="Q24" i="36"/>
  <c r="Q23" i="36"/>
  <c r="Q17" i="36"/>
  <c r="L7" i="34"/>
  <c r="D7" i="34"/>
  <c r="F13" i="4" l="1"/>
  <c r="I11" i="4" s="1"/>
  <c r="Q11" i="4"/>
  <c r="T30" i="4"/>
  <c r="F11" i="4"/>
  <c r="R21" i="13"/>
  <c r="S19" i="13"/>
  <c r="R19" i="13"/>
  <c r="S17" i="13"/>
  <c r="R17" i="13"/>
  <c r="S15" i="13"/>
  <c r="R15" i="13"/>
  <c r="S13" i="13"/>
  <c r="R13" i="13"/>
  <c r="S11" i="13"/>
  <c r="R11" i="13"/>
  <c r="S9" i="13"/>
  <c r="R9" i="13"/>
  <c r="S25" i="9"/>
  <c r="R25" i="9"/>
  <c r="S23" i="9"/>
  <c r="R23" i="9"/>
  <c r="S21" i="9"/>
  <c r="R21" i="9"/>
  <c r="S19" i="9"/>
  <c r="R19" i="9"/>
  <c r="S17" i="9"/>
  <c r="R17" i="9"/>
  <c r="S15" i="9"/>
  <c r="R15" i="9"/>
  <c r="S13" i="9"/>
  <c r="R13" i="9"/>
  <c r="S11" i="9"/>
  <c r="R11" i="9"/>
  <c r="S9" i="9"/>
  <c r="R9" i="9"/>
  <c r="R23" i="11"/>
  <c r="S21" i="11"/>
  <c r="R21" i="11"/>
  <c r="S19" i="11"/>
  <c r="R19" i="11"/>
  <c r="S17" i="11"/>
  <c r="R17" i="11"/>
  <c r="S15" i="11"/>
  <c r="R15" i="11"/>
  <c r="S13" i="11"/>
  <c r="R13" i="11"/>
  <c r="S11" i="11"/>
  <c r="R11" i="11"/>
  <c r="S9" i="11"/>
  <c r="R9" i="11"/>
  <c r="S27" i="10"/>
  <c r="R27" i="10"/>
  <c r="S25" i="10"/>
  <c r="R25" i="10"/>
  <c r="S23" i="10"/>
  <c r="R23" i="10"/>
  <c r="S21" i="10"/>
  <c r="R21" i="10"/>
  <c r="S19" i="10"/>
  <c r="R19" i="10"/>
  <c r="S17" i="10"/>
  <c r="R17" i="10"/>
  <c r="S15" i="10"/>
  <c r="R15" i="10"/>
  <c r="S13" i="10"/>
  <c r="R13" i="10"/>
  <c r="S11" i="10"/>
  <c r="R11" i="10"/>
  <c r="S9" i="10"/>
  <c r="R9" i="10"/>
  <c r="R25" i="8"/>
  <c r="S23" i="8"/>
  <c r="R23" i="8"/>
  <c r="S21" i="8"/>
  <c r="R21" i="8"/>
  <c r="S19" i="8"/>
  <c r="R19" i="8"/>
  <c r="S17" i="8"/>
  <c r="R17" i="8"/>
  <c r="S15" i="8"/>
  <c r="R15" i="8"/>
  <c r="S13" i="8"/>
  <c r="R13" i="8"/>
  <c r="S11" i="8"/>
  <c r="R11" i="8"/>
  <c r="S9" i="8"/>
  <c r="R9" i="8"/>
  <c r="R27" i="6"/>
  <c r="S25" i="7"/>
  <c r="R25" i="7"/>
  <c r="S23" i="7"/>
  <c r="R23" i="7"/>
  <c r="S21" i="7"/>
  <c r="R21" i="7"/>
  <c r="S19" i="7"/>
  <c r="R19" i="7"/>
  <c r="S17" i="7"/>
  <c r="R17" i="7"/>
  <c r="S15" i="7"/>
  <c r="R15" i="7"/>
  <c r="S13" i="7"/>
  <c r="R13" i="7"/>
  <c r="S11" i="7"/>
  <c r="R11" i="7"/>
  <c r="S9" i="7"/>
  <c r="R9" i="7"/>
  <c r="S25" i="6"/>
  <c r="R25" i="6"/>
  <c r="S23" i="6"/>
  <c r="R23" i="6"/>
  <c r="S21" i="6"/>
  <c r="R21" i="6"/>
  <c r="S19" i="6"/>
  <c r="R19" i="6"/>
  <c r="S17" i="6"/>
  <c r="R17" i="6"/>
  <c r="S15" i="6"/>
  <c r="R15" i="6"/>
  <c r="S13" i="6"/>
  <c r="R13" i="6"/>
  <c r="S11" i="6"/>
  <c r="R11" i="6"/>
  <c r="S9" i="6"/>
  <c r="R9" i="6"/>
  <c r="R27" i="5"/>
  <c r="S25" i="5"/>
  <c r="R25" i="5"/>
  <c r="S23" i="5"/>
  <c r="R23" i="5"/>
  <c r="S21" i="5"/>
  <c r="R21" i="5"/>
  <c r="S19" i="5"/>
  <c r="R19" i="5"/>
  <c r="S17" i="5"/>
  <c r="R17" i="5"/>
  <c r="S15" i="5"/>
  <c r="R15" i="5"/>
  <c r="S13" i="5"/>
  <c r="R13" i="5"/>
  <c r="S11" i="5"/>
  <c r="R11" i="5"/>
  <c r="S9" i="5"/>
  <c r="R9" i="5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9" i="4"/>
  <c r="D27" i="4" l="1"/>
  <c r="D26" i="4"/>
  <c r="D28" i="4"/>
  <c r="F15" i="4"/>
  <c r="D29" i="4"/>
  <c r="N19" i="13"/>
  <c r="N16" i="13"/>
  <c r="N14" i="13"/>
  <c r="N12" i="13"/>
  <c r="N9" i="13"/>
  <c r="N21" i="13"/>
  <c r="H21" i="13"/>
  <c r="N20" i="13"/>
  <c r="H20" i="13"/>
  <c r="H19" i="13"/>
  <c r="N18" i="13"/>
  <c r="H18" i="13"/>
  <c r="N17" i="13"/>
  <c r="H17" i="13"/>
  <c r="H16" i="13"/>
  <c r="N15" i="13"/>
  <c r="H15" i="13"/>
  <c r="H14" i="13"/>
  <c r="N13" i="13"/>
  <c r="H13" i="13"/>
  <c r="H12" i="13"/>
  <c r="N11" i="13"/>
  <c r="H11" i="13"/>
  <c r="N10" i="13"/>
  <c r="H10" i="13"/>
  <c r="H9" i="13"/>
  <c r="L2" i="13"/>
  <c r="H4" i="13"/>
  <c r="N18" i="11"/>
  <c r="N15" i="11"/>
  <c r="N14" i="11"/>
  <c r="N21" i="11"/>
  <c r="N17" i="11"/>
  <c r="N16" i="11"/>
  <c r="N11" i="11"/>
  <c r="N10" i="11"/>
  <c r="N9" i="11"/>
  <c r="N23" i="11"/>
  <c r="H23" i="11"/>
  <c r="N22" i="11"/>
  <c r="H22" i="11"/>
  <c r="H21" i="11"/>
  <c r="N20" i="11"/>
  <c r="H20" i="11"/>
  <c r="N19" i="11"/>
  <c r="H19" i="11"/>
  <c r="H18" i="11"/>
  <c r="H17" i="11"/>
  <c r="H16" i="11"/>
  <c r="H15" i="11"/>
  <c r="H14" i="11"/>
  <c r="N13" i="11"/>
  <c r="H13" i="11"/>
  <c r="N12" i="11"/>
  <c r="H12" i="11"/>
  <c r="H11" i="11"/>
  <c r="H10" i="11"/>
  <c r="H9" i="11"/>
  <c r="L2" i="11"/>
  <c r="H4" i="11"/>
  <c r="H28" i="10"/>
  <c r="N28" i="10" l="1"/>
  <c r="N27" i="10"/>
  <c r="N26" i="10"/>
  <c r="N24" i="10"/>
  <c r="N21" i="10"/>
  <c r="N20" i="10"/>
  <c r="N17" i="10"/>
  <c r="N16" i="10"/>
  <c r="N14" i="10"/>
  <c r="N13" i="10"/>
  <c r="N11" i="10"/>
  <c r="N10" i="10"/>
  <c r="N9" i="10"/>
  <c r="N25" i="10"/>
  <c r="N23" i="10"/>
  <c r="N22" i="10"/>
  <c r="N19" i="10"/>
  <c r="N18" i="10"/>
  <c r="N15" i="10"/>
  <c r="N12" i="10"/>
  <c r="N24" i="9" l="1"/>
  <c r="N23" i="9"/>
  <c r="N18" i="9"/>
  <c r="N11" i="9"/>
  <c r="N10" i="9"/>
  <c r="N26" i="9"/>
  <c r="N20" i="9"/>
  <c r="N19" i="9"/>
  <c r="N17" i="9"/>
  <c r="N16" i="9"/>
  <c r="N15" i="9"/>
  <c r="N14" i="9"/>
  <c r="N9" i="9"/>
  <c r="N25" i="9"/>
  <c r="N22" i="9"/>
  <c r="N21" i="9"/>
  <c r="N13" i="9"/>
  <c r="N12" i="9"/>
  <c r="N25" i="8"/>
  <c r="N22" i="8"/>
  <c r="N20" i="8"/>
  <c r="N19" i="8"/>
  <c r="N18" i="8"/>
  <c r="N17" i="8"/>
  <c r="N16" i="8"/>
  <c r="N15" i="8"/>
  <c r="N14" i="8"/>
  <c r="N11" i="8"/>
  <c r="N10" i="8"/>
  <c r="N9" i="8"/>
  <c r="N24" i="8"/>
  <c r="N23" i="8"/>
  <c r="N21" i="8"/>
  <c r="N13" i="8"/>
  <c r="N12" i="8"/>
  <c r="N27" i="6"/>
  <c r="N26" i="6"/>
  <c r="N25" i="6"/>
  <c r="N24" i="6"/>
  <c r="N21" i="6"/>
  <c r="N15" i="6"/>
  <c r="N13" i="6"/>
  <c r="N27" i="5"/>
  <c r="N26" i="5"/>
  <c r="N25" i="5"/>
  <c r="N22" i="5"/>
  <c r="N15" i="5"/>
  <c r="N9" i="5"/>
  <c r="N24" i="7"/>
  <c r="N23" i="7"/>
  <c r="N22" i="7"/>
  <c r="N20" i="7"/>
  <c r="N17" i="7"/>
  <c r="N9" i="7"/>
  <c r="N18" i="7"/>
  <c r="N12" i="7"/>
  <c r="N11" i="7"/>
  <c r="N26" i="7"/>
  <c r="N25" i="7"/>
  <c r="N21" i="7"/>
  <c r="N19" i="7"/>
  <c r="N16" i="7"/>
  <c r="N15" i="7"/>
  <c r="N14" i="7"/>
  <c r="N13" i="7"/>
  <c r="N10" i="7"/>
  <c r="N23" i="6"/>
  <c r="N22" i="6"/>
  <c r="N18" i="6"/>
  <c r="N17" i="6"/>
  <c r="N11" i="6"/>
  <c r="N10" i="6"/>
  <c r="N20" i="6"/>
  <c r="N19" i="6"/>
  <c r="N16" i="6"/>
  <c r="N14" i="6"/>
  <c r="N12" i="6"/>
  <c r="N9" i="6"/>
  <c r="N24" i="5"/>
  <c r="N23" i="5"/>
  <c r="N20" i="5"/>
  <c r="N21" i="5"/>
  <c r="N19" i="5"/>
  <c r="N18" i="5"/>
  <c r="N17" i="5"/>
  <c r="N16" i="5"/>
  <c r="N14" i="5"/>
  <c r="N13" i="5"/>
  <c r="N11" i="5"/>
  <c r="N10" i="5"/>
  <c r="N12" i="5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L2" i="10"/>
  <c r="H4" i="10"/>
  <c r="H13" i="9" l="1"/>
  <c r="K26" i="9"/>
  <c r="H26" i="9"/>
  <c r="K25" i="9"/>
  <c r="H25" i="9"/>
  <c r="K24" i="9"/>
  <c r="H24" i="9"/>
  <c r="K23" i="9"/>
  <c r="H23" i="9"/>
  <c r="K22" i="9"/>
  <c r="H22" i="9"/>
  <c r="K21" i="9"/>
  <c r="H21" i="9"/>
  <c r="K20" i="9"/>
  <c r="H20" i="9"/>
  <c r="K19" i="9"/>
  <c r="H19" i="9"/>
  <c r="K18" i="9"/>
  <c r="H18" i="9"/>
  <c r="K17" i="9"/>
  <c r="H17" i="9"/>
  <c r="K16" i="9"/>
  <c r="H16" i="9"/>
  <c r="K15" i="9"/>
  <c r="H15" i="9"/>
  <c r="K14" i="9"/>
  <c r="H14" i="9"/>
  <c r="K13" i="9"/>
  <c r="K12" i="9"/>
  <c r="H12" i="9"/>
  <c r="K11" i="9"/>
  <c r="H11" i="9"/>
  <c r="K10" i="9"/>
  <c r="H10" i="9"/>
  <c r="K9" i="9"/>
  <c r="H9" i="9"/>
  <c r="L2" i="9"/>
  <c r="H4" i="9"/>
  <c r="K25" i="8"/>
  <c r="H25" i="8"/>
  <c r="K24" i="8"/>
  <c r="H24" i="8"/>
  <c r="K23" i="8"/>
  <c r="H23" i="8"/>
  <c r="K22" i="8"/>
  <c r="H22" i="8"/>
  <c r="K21" i="8"/>
  <c r="H21" i="8"/>
  <c r="K20" i="8"/>
  <c r="H20" i="8"/>
  <c r="K19" i="8"/>
  <c r="H19" i="8"/>
  <c r="K18" i="8"/>
  <c r="H18" i="8"/>
  <c r="K17" i="8"/>
  <c r="H17" i="8"/>
  <c r="K16" i="8"/>
  <c r="H16" i="8"/>
  <c r="K15" i="8"/>
  <c r="H15" i="8"/>
  <c r="K14" i="8"/>
  <c r="H14" i="8"/>
  <c r="K13" i="8"/>
  <c r="H13" i="8"/>
  <c r="K12" i="8"/>
  <c r="H12" i="8"/>
  <c r="K11" i="8"/>
  <c r="H11" i="8"/>
  <c r="K10" i="8"/>
  <c r="H10" i="8"/>
  <c r="K9" i="8"/>
  <c r="H9" i="8"/>
  <c r="L2" i="8"/>
  <c r="H4" i="8"/>
  <c r="H17" i="7"/>
  <c r="K26" i="7"/>
  <c r="H26" i="7"/>
  <c r="K25" i="7"/>
  <c r="H25" i="7"/>
  <c r="K24" i="7"/>
  <c r="H24" i="7"/>
  <c r="K23" i="7"/>
  <c r="H23" i="7"/>
  <c r="K22" i="7"/>
  <c r="H22" i="7"/>
  <c r="K21" i="7"/>
  <c r="H21" i="7"/>
  <c r="K20" i="7"/>
  <c r="H20" i="7"/>
  <c r="K19" i="7"/>
  <c r="H19" i="7"/>
  <c r="K18" i="7"/>
  <c r="H18" i="7"/>
  <c r="K17" i="7"/>
  <c r="K16" i="7"/>
  <c r="H16" i="7"/>
  <c r="K15" i="7"/>
  <c r="H15" i="7"/>
  <c r="K14" i="7"/>
  <c r="H14" i="7"/>
  <c r="K13" i="7"/>
  <c r="H13" i="7"/>
  <c r="K12" i="7"/>
  <c r="H12" i="7"/>
  <c r="K11" i="7"/>
  <c r="H11" i="7"/>
  <c r="K10" i="7"/>
  <c r="H10" i="7"/>
  <c r="K9" i="7"/>
  <c r="H9" i="7"/>
  <c r="L2" i="7"/>
  <c r="H4" i="7"/>
  <c r="T29" i="4"/>
  <c r="K27" i="6" l="1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22" i="5"/>
  <c r="K27" i="5"/>
  <c r="K26" i="5"/>
  <c r="K25" i="5"/>
  <c r="K24" i="5"/>
  <c r="K23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H27" i="6" l="1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L4" i="6"/>
  <c r="L2" i="6" s="1"/>
  <c r="H4" i="6"/>
  <c r="H27" i="5" l="1"/>
  <c r="H26" i="5"/>
  <c r="H25" i="5"/>
  <c r="H24" i="5"/>
  <c r="H23" i="5"/>
  <c r="H22" i="5"/>
  <c r="H21" i="5"/>
  <c r="H20" i="5"/>
  <c r="H19" i="5"/>
  <c r="H18" i="5"/>
  <c r="H17" i="5"/>
  <c r="H16" i="5"/>
  <c r="H10" i="5" s="1"/>
  <c r="H15" i="5"/>
  <c r="H14" i="5"/>
  <c r="H13" i="5"/>
  <c r="H12" i="5"/>
  <c r="H11" i="5"/>
  <c r="H9" i="5"/>
  <c r="L4" i="5" l="1"/>
  <c r="L2" i="5" s="1"/>
  <c r="H4" i="5"/>
  <c r="W31" i="4"/>
  <c r="J9" i="4"/>
  <c r="W30" i="4"/>
  <c r="F10" i="4"/>
  <c r="I22" i="4" s="1"/>
  <c r="W29" i="4"/>
  <c r="T31" i="4" l="1"/>
  <c r="D21" i="4"/>
  <c r="I31" i="4" l="1"/>
  <c r="D16" i="4"/>
  <c r="J27" i="4"/>
  <c r="I27" i="4"/>
  <c r="D18" i="4" l="1"/>
  <c r="Q10" i="4"/>
  <c r="I10" i="4" s="1"/>
  <c r="Q7" i="4"/>
  <c r="I7" i="4" s="1"/>
  <c r="Q6" i="4"/>
  <c r="I6" i="4" s="1"/>
  <c r="Q8" i="4"/>
  <c r="I8" i="4" s="1"/>
  <c r="Q5" i="4"/>
  <c r="I5" i="4" s="1"/>
  <c r="I26" i="4" l="1"/>
  <c r="I25" i="4"/>
  <c r="D17" i="4" l="1"/>
  <c r="I9" i="4"/>
  <c r="I24" i="4"/>
  <c r="J30" i="4"/>
  <c r="I30" i="4"/>
  <c r="I18" i="4"/>
  <c r="I23" i="4"/>
  <c r="P2" i="4"/>
  <c r="F8" i="4"/>
  <c r="I20" i="4" s="1"/>
  <c r="F12" i="4"/>
  <c r="D20" i="4" s="1"/>
  <c r="D19" i="4" l="1"/>
  <c r="D22" i="4"/>
  <c r="I19" i="4"/>
  <c r="I12" i="4"/>
  <c r="I14" i="4"/>
  <c r="F9" i="4"/>
  <c r="I15" i="4" s="1"/>
  <c r="E5" i="4"/>
  <c r="I13" i="4" l="1"/>
</calcChain>
</file>

<file path=xl/sharedStrings.xml><?xml version="1.0" encoding="utf-8"?>
<sst xmlns="http://schemas.openxmlformats.org/spreadsheetml/2006/main" count="3513" uniqueCount="623">
  <si>
    <t>Сила</t>
  </si>
  <si>
    <t>Ловкость</t>
  </si>
  <si>
    <t>Интеллект</t>
  </si>
  <si>
    <t>Телосложение</t>
  </si>
  <si>
    <t>Скорость</t>
  </si>
  <si>
    <t>Восприятие</t>
  </si>
  <si>
    <t>Показатели</t>
  </si>
  <si>
    <t>Оружие</t>
  </si>
  <si>
    <t>Уровень</t>
  </si>
  <si>
    <t>Очки развития</t>
  </si>
  <si>
    <t>Характетистики</t>
  </si>
  <si>
    <t>Зрение</t>
  </si>
  <si>
    <t>Слух</t>
  </si>
  <si>
    <t>Перемещение</t>
  </si>
  <si>
    <t>Инициатива</t>
  </si>
  <si>
    <t>Грузоподъемность</t>
  </si>
  <si>
    <t>Физ. защита</t>
  </si>
  <si>
    <t>Шанс блока</t>
  </si>
  <si>
    <t>Шанс крит. урона</t>
  </si>
  <si>
    <t>Уклонение</t>
  </si>
  <si>
    <t>Защита от стихий</t>
  </si>
  <si>
    <t>Огонь</t>
  </si>
  <si>
    <t>Вода</t>
  </si>
  <si>
    <t>Земля</t>
  </si>
  <si>
    <t>Воздух</t>
  </si>
  <si>
    <t>Тенебрий</t>
  </si>
  <si>
    <t>Яд</t>
  </si>
  <si>
    <t>Сложность</t>
  </si>
  <si>
    <t>норма</t>
  </si>
  <si>
    <t>сложно</t>
  </si>
  <si>
    <t>легко</t>
  </si>
  <si>
    <t>Очки способностей</t>
  </si>
  <si>
    <t>Способности</t>
  </si>
  <si>
    <t>Очки талантов</t>
  </si>
  <si>
    <t>Таланты</t>
  </si>
  <si>
    <t>арбалет</t>
  </si>
  <si>
    <t>двуручное</t>
  </si>
  <si>
    <t>лук</t>
  </si>
  <si>
    <t>одноручное</t>
  </si>
  <si>
    <t>Защита</t>
  </si>
  <si>
    <t>Навыки</t>
  </si>
  <si>
    <t>Характер</t>
  </si>
  <si>
    <t>Умения</t>
  </si>
  <si>
    <t>Злодеяния</t>
  </si>
  <si>
    <t>знаток доспехов</t>
  </si>
  <si>
    <t>знаток щитов</t>
  </si>
  <si>
    <t>крепость тела</t>
  </si>
  <si>
    <t>сила воли</t>
  </si>
  <si>
    <t>аэротеургия</t>
  </si>
  <si>
    <t>геомантия</t>
  </si>
  <si>
    <t>гидрософистика</t>
  </si>
  <si>
    <t>колдовство</t>
  </si>
  <si>
    <t>ополченец</t>
  </si>
  <si>
    <t>опытный стрелок</t>
  </si>
  <si>
    <t>пирокинетика</t>
  </si>
  <si>
    <t>преступник</t>
  </si>
  <si>
    <t>бартер</t>
  </si>
  <si>
    <t>лидерство</t>
  </si>
  <si>
    <t>обаяние</t>
  </si>
  <si>
    <t>талисман удачи</t>
  </si>
  <si>
    <t>знаток легенд</t>
  </si>
  <si>
    <t>кузнечное дело</t>
  </si>
  <si>
    <t>рукоделие</t>
  </si>
  <si>
    <t>телекинез</t>
  </si>
  <si>
    <t>взлом</t>
  </si>
  <si>
    <t>карманник</t>
  </si>
  <si>
    <t>скрытность</t>
  </si>
  <si>
    <t xml:space="preserve">Любитель животных </t>
  </si>
  <si>
    <t>lvl</t>
  </si>
  <si>
    <t>всего</t>
  </si>
  <si>
    <t>вещи</t>
  </si>
  <si>
    <t>получено</t>
  </si>
  <si>
    <t>Точность (сила)</t>
  </si>
  <si>
    <t>Точность (ловкость)</t>
  </si>
  <si>
    <t>Точность (интеллект)</t>
  </si>
  <si>
    <t>Откат маг. скилов</t>
  </si>
  <si>
    <t>Очки действия (макс)</t>
  </si>
  <si>
    <t>Очки действия (старт)</t>
  </si>
  <si>
    <t>Очки действия (ход)</t>
  </si>
  <si>
    <t>Штраф дистанции</t>
  </si>
  <si>
    <t>Здоровье (базовое)</t>
  </si>
  <si>
    <t>Здоровье (факт)</t>
  </si>
  <si>
    <t>Физ. урон (арбалет)</t>
  </si>
  <si>
    <t>Физ. урон (двуручное)</t>
  </si>
  <si>
    <t>Физ. урон (лук)</t>
  </si>
  <si>
    <t>Физ. урон (одноручное)</t>
  </si>
  <si>
    <t>Штраф на перемещение</t>
  </si>
  <si>
    <t>Сопротивление физ. эфф.</t>
  </si>
  <si>
    <t>Сопротивление маг. эфф.</t>
  </si>
  <si>
    <t>Независимость</t>
  </si>
  <si>
    <t>Исполнительность</t>
  </si>
  <si>
    <t>Прагматизм</t>
  </si>
  <si>
    <t>Романтичность</t>
  </si>
  <si>
    <t>Праведность</t>
  </si>
  <si>
    <t>Ренегат</t>
  </si>
  <si>
    <t>Прямодушие</t>
  </si>
  <si>
    <t>Отзывчивость</t>
  </si>
  <si>
    <t>Храбрость</t>
  </si>
  <si>
    <t>Осторожность</t>
  </si>
  <si>
    <t>Духовность</t>
  </si>
  <si>
    <t>Материализм</t>
  </si>
  <si>
    <t>Всепрощение</t>
  </si>
  <si>
    <t>Злопамятность</t>
  </si>
  <si>
    <t>Сострадание</t>
  </si>
  <si>
    <t>Бессердечность</t>
  </si>
  <si>
    <t>Альтруизм</t>
  </si>
  <si>
    <t>Эгоизм</t>
  </si>
  <si>
    <t>Купля/Продажа</t>
  </si>
  <si>
    <t>Репутация</t>
  </si>
  <si>
    <t>Лидерство</t>
  </si>
  <si>
    <t>Шанс ударить</t>
  </si>
  <si>
    <t>Удача (сокровища)</t>
  </si>
  <si>
    <t>Невосприимчивость</t>
  </si>
  <si>
    <t>Очарование</t>
  </si>
  <si>
    <t>Страх</t>
  </si>
  <si>
    <t>Проклятие</t>
  </si>
  <si>
    <t xml:space="preserve">Осталось очков </t>
  </si>
  <si>
    <t xml:space="preserve">Легкий шаг </t>
  </si>
  <si>
    <t xml:space="preserve">Анаконда </t>
  </si>
  <si>
    <t xml:space="preserve">Больше и лучше </t>
  </si>
  <si>
    <t xml:space="preserve">Быстрая рука </t>
  </si>
  <si>
    <t xml:space="preserve">Быстрые ноги </t>
  </si>
  <si>
    <t xml:space="preserve">Вечное дитя </t>
  </si>
  <si>
    <t xml:space="preserve">Возврат стрел </t>
  </si>
  <si>
    <t xml:space="preserve">Волк-одиночка </t>
  </si>
  <si>
    <t xml:space="preserve">Вонь </t>
  </si>
  <si>
    <t xml:space="preserve">Воплощение здоровья </t>
  </si>
  <si>
    <t xml:space="preserve">Всезнайка </t>
  </si>
  <si>
    <t xml:space="preserve">Всепогодный </t>
  </si>
  <si>
    <t xml:space="preserve">Гремучая змея </t>
  </si>
  <si>
    <t xml:space="preserve">Громоотвод </t>
  </si>
  <si>
    <t xml:space="preserve">Грубость </t>
  </si>
  <si>
    <t xml:space="preserve">Грузчик </t>
  </si>
  <si>
    <t xml:space="preserve">Гурман </t>
  </si>
  <si>
    <t xml:space="preserve">Демон </t>
  </si>
  <si>
    <t xml:space="preserve">Длинные руки </t>
  </si>
  <si>
    <t xml:space="preserve">Зомби </t>
  </si>
  <si>
    <t xml:space="preserve">Мастер побега </t>
  </si>
  <si>
    <t xml:space="preserve">Моя прелесть </t>
  </si>
  <si>
    <t xml:space="preserve">Оппортунист </t>
  </si>
  <si>
    <t xml:space="preserve">Пиявка </t>
  </si>
  <si>
    <t xml:space="preserve">Политик </t>
  </si>
  <si>
    <t xml:space="preserve">Ранняя пташка </t>
  </si>
  <si>
    <t xml:space="preserve">Само пройдет </t>
  </si>
  <si>
    <t xml:space="preserve">Сродство к стихиям </t>
  </si>
  <si>
    <t xml:space="preserve">Толстая шкура </t>
  </si>
  <si>
    <t xml:space="preserve">Торопливость </t>
  </si>
  <si>
    <t xml:space="preserve">Ученый </t>
  </si>
  <si>
    <t xml:space="preserve">Храбрость </t>
  </si>
  <si>
    <t xml:space="preserve">Коварная рука </t>
  </si>
  <si>
    <t xml:space="preserve">Ледяной король </t>
  </si>
  <si>
    <t xml:space="preserve">Мастер на все руки </t>
  </si>
  <si>
    <t xml:space="preserve">Партизан </t>
  </si>
  <si>
    <t xml:space="preserve">Светило магии </t>
  </si>
  <si>
    <t xml:space="preserve">Спокойствие в бурю </t>
  </si>
  <si>
    <t xml:space="preserve">Стеклянная пушка </t>
  </si>
  <si>
    <t xml:space="preserve">Стихийный следопыт </t>
  </si>
  <si>
    <t xml:space="preserve">Упорство </t>
  </si>
  <si>
    <t xml:space="preserve">Упрямство </t>
  </si>
  <si>
    <t>Шаг в сторону</t>
  </si>
  <si>
    <t>Шустрый вор</t>
  </si>
  <si>
    <t>осталось</t>
  </si>
  <si>
    <t>Оглушение</t>
  </si>
  <si>
    <t>Немота</t>
  </si>
  <si>
    <t>Сбитие с ног</t>
  </si>
  <si>
    <t>Заморозка</t>
  </si>
  <si>
    <t>Окаменение</t>
  </si>
  <si>
    <t xml:space="preserve">Лютый мороз </t>
  </si>
  <si>
    <t xml:space="preserve">Быстрый разряд </t>
  </si>
  <si>
    <t xml:space="preserve">Дурная голова </t>
  </si>
  <si>
    <t xml:space="preserve">Телепортация </t>
  </si>
  <si>
    <t xml:space="preserve">Ясновидение </t>
  </si>
  <si>
    <t xml:space="preserve">Превращение в воздух </t>
  </si>
  <si>
    <t xml:space="preserve">Электрическое касание </t>
  </si>
  <si>
    <t xml:space="preserve">Невосприимчивость к электричеству </t>
  </si>
  <si>
    <t xml:space="preserve">Удар молнии </t>
  </si>
  <si>
    <t xml:space="preserve">Невидимость </t>
  </si>
  <si>
    <t xml:space="preserve">Торнадо </t>
  </si>
  <si>
    <t xml:space="preserve">Вызов элементаля воздуха </t>
  </si>
  <si>
    <t xml:space="preserve">Цепь молний </t>
  </si>
  <si>
    <t xml:space="preserve">Буря </t>
  </si>
  <si>
    <t>Навык</t>
  </si>
  <si>
    <t>Уровень 
персонажа</t>
  </si>
  <si>
    <t>Уровень 
навыка</t>
  </si>
  <si>
    <t>Атрибут</t>
  </si>
  <si>
    <t>Эффек-
тивность</t>
  </si>
  <si>
    <t>№ 
п/п</t>
  </si>
  <si>
    <t>Откат</t>
  </si>
  <si>
    <t>Расстояние</t>
  </si>
  <si>
    <t>Очки действия</t>
  </si>
  <si>
    <t>факт</t>
  </si>
  <si>
    <t>Уровень
способн.</t>
  </si>
  <si>
    <t>Изучить
навык</t>
  </si>
  <si>
    <t>Длитель-
ность</t>
  </si>
  <si>
    <t>на себя</t>
  </si>
  <si>
    <t xml:space="preserve">Уровень персонажа </t>
  </si>
  <si>
    <t xml:space="preserve">Интеллект персонажа </t>
  </si>
  <si>
    <t xml:space="preserve">Уровень способности </t>
  </si>
  <si>
    <t xml:space="preserve">Использовано очков </t>
  </si>
  <si>
    <t xml:space="preserve">Доступно навыков </t>
  </si>
  <si>
    <t xml:space="preserve">Изучено навыков </t>
  </si>
  <si>
    <t>Благословение</t>
  </si>
  <si>
    <t>Удар камня</t>
  </si>
  <si>
    <t>Смертельные споры</t>
  </si>
  <si>
    <t>Землетрясение</t>
  </si>
  <si>
    <t>Укрепление</t>
  </si>
  <si>
    <t>Невосприимчивость к яду</t>
  </si>
  <si>
    <t>Полуночное масло</t>
  </si>
  <si>
    <t>Вызов элементаля земли</t>
  </si>
  <si>
    <t>Вызов паука</t>
  </si>
  <si>
    <t>Вызов волка</t>
  </si>
  <si>
    <t>15 + 2 AOE</t>
  </si>
  <si>
    <t>15 + 15 AOE</t>
  </si>
  <si>
    <t>15 + 3 AOE</t>
  </si>
  <si>
    <t>-</t>
  </si>
  <si>
    <t>Молния</t>
  </si>
  <si>
    <t>Наложение невидимости</t>
  </si>
  <si>
    <t>Снятие окаменения</t>
  </si>
  <si>
    <t>Едкое дыхание (струя слизи)</t>
  </si>
  <si>
    <t>Благословенная земля</t>
  </si>
  <si>
    <t>Камнемет</t>
  </si>
  <si>
    <t>Щит сопротивления земле (земляной щит)</t>
  </si>
  <si>
    <t>Волшебная отравленная стрела</t>
  </si>
  <si>
    <t>Волшебный отравленный дротик</t>
  </si>
  <si>
    <t>Проклятье природы</t>
  </si>
  <si>
    <t>Окаменяющее касание</t>
  </si>
  <si>
    <t>Вызов роя</t>
  </si>
  <si>
    <t>Противовоздушный щит (воздушный щит)</t>
  </si>
  <si>
    <t>Падение пера (легкость пера)</t>
  </si>
  <si>
    <t>Очищающая вода</t>
  </si>
  <si>
    <t>Леденящее касание</t>
  </si>
  <si>
    <t>Льдинка</t>
  </si>
  <si>
    <t>Ледяная стена</t>
  </si>
  <si>
    <t>Невосприимчивость к огню</t>
  </si>
  <si>
    <t>Массовая болезнь</t>
  </si>
  <si>
    <t>Массовое замедление</t>
  </si>
  <si>
    <t>Малое лечение</t>
  </si>
  <si>
    <t>Пронзающая льдинка</t>
  </si>
  <si>
    <t>Дождь</t>
  </si>
  <si>
    <t>Восстановление</t>
  </si>
  <si>
    <t>Медленное течение</t>
  </si>
  <si>
    <t>Сильная регенерация</t>
  </si>
  <si>
    <t>Вызов элементаля льда</t>
  </si>
  <si>
    <t>Живая вода</t>
  </si>
  <si>
    <t>Удар зимы</t>
  </si>
  <si>
    <t>Град</t>
  </si>
  <si>
    <t>15 + 4</t>
  </si>
  <si>
    <t>14 АОЕ</t>
  </si>
  <si>
    <t>Щит сопротивления воде (водный щит)</t>
  </si>
  <si>
    <t>15 + 6 АОЕ</t>
  </si>
  <si>
    <t>16 + 6 АОЕ</t>
  </si>
  <si>
    <t>15 + 20 АОЕ</t>
  </si>
  <si>
    <t xml:space="preserve">Поглощение стихий </t>
  </si>
  <si>
    <t>Кровопускание</t>
  </si>
  <si>
    <t>Смертельный удар</t>
  </si>
  <si>
    <t>Отмена вызова</t>
  </si>
  <si>
    <t>Похищение воли</t>
  </si>
  <si>
    <t>Ослабляющее касание</t>
  </si>
  <si>
    <t>Ужасный крик</t>
  </si>
  <si>
    <t>Неуязвимость</t>
  </si>
  <si>
    <t>Злословие</t>
  </si>
  <si>
    <t>Массовая слабость</t>
  </si>
  <si>
    <t>Клятва осквернения</t>
  </si>
  <si>
    <t>Воскрешение</t>
  </si>
  <si>
    <t>Иссушение души</t>
  </si>
  <si>
    <t>Вызов палача в доспехах</t>
  </si>
  <si>
    <t>Вызов воина нежити</t>
  </si>
  <si>
    <t>Касание вампира</t>
  </si>
  <si>
    <t>Слепота (ослепление)</t>
  </si>
  <si>
    <t>Огненные глаза</t>
  </si>
  <si>
    <t>Огненное касание</t>
  </si>
  <si>
    <t>Взрыв</t>
  </si>
  <si>
    <t>Светлячок</t>
  </si>
  <si>
    <t>Вспышка</t>
  </si>
  <si>
    <t>Очищающий огонь</t>
  </si>
  <si>
    <t>Малый огненный шар</t>
  </si>
  <si>
    <t>Вызов элементаля огня</t>
  </si>
  <si>
    <t>Пожар</t>
  </si>
  <si>
    <t>Жар огня</t>
  </si>
  <si>
    <t>Огнеупорный щит (огненный щит)</t>
  </si>
  <si>
    <t>Сожжение</t>
  </si>
  <si>
    <t>Невосприимчивость к холоду</t>
  </si>
  <si>
    <t>Заразное пламя</t>
  </si>
  <si>
    <t>Сгусток лавы</t>
  </si>
  <si>
    <t>Метеоритный дождь (метеорит)</t>
  </si>
  <si>
    <t>Дымовая завеса</t>
  </si>
  <si>
    <t>Самосожжение</t>
  </si>
  <si>
    <t>6 AOE</t>
  </si>
  <si>
    <t>30 + 2 АОЕ</t>
  </si>
  <si>
    <t>8 + 2 АОЕ</t>
  </si>
  <si>
    <t>15 АОЕ</t>
  </si>
  <si>
    <t>15 + 2 АОЕ</t>
  </si>
  <si>
    <t>10 АОЕ</t>
  </si>
  <si>
    <t xml:space="preserve">Сила персонажа </t>
  </si>
  <si>
    <t>Калечащий удар</t>
  </si>
  <si>
    <t>Сокрушающий кулак</t>
  </si>
  <si>
    <t>Лечение ран</t>
  </si>
  <si>
    <t>Божественный свет</t>
  </si>
  <si>
    <t>Пыльный дьявол</t>
  </si>
  <si>
    <t>Воодушевление</t>
  </si>
  <si>
    <t>Шквал</t>
  </si>
  <si>
    <t>Рука помощи</t>
  </si>
  <si>
    <t>Снижение сопротивления</t>
  </si>
  <si>
    <t>Стойка силы для ближнего боя</t>
  </si>
  <si>
    <t>Ярость</t>
  </si>
  <si>
    <t>Таран (спешка)</t>
  </si>
  <si>
    <t>Разъедающий удар</t>
  </si>
  <si>
    <t>Смерч</t>
  </si>
  <si>
    <t>Вдохновение</t>
  </si>
  <si>
    <t>Стойка для ближнего боя (стойка точности)</t>
  </si>
  <si>
    <t>Полная уязвимость</t>
  </si>
  <si>
    <t>Полет феникса</t>
  </si>
  <si>
    <t>Ужас</t>
  </si>
  <si>
    <t>8 АОЕ</t>
  </si>
  <si>
    <t>5 АОЕ</t>
  </si>
  <si>
    <t>2,4 АОЕ</t>
  </si>
  <si>
    <t>+</t>
  </si>
  <si>
    <t>15 + 3 АОЕ</t>
  </si>
  <si>
    <t>Оружие 
ближн.</t>
  </si>
  <si>
    <t>Доктор</t>
  </si>
  <si>
    <t>Первая помощь</t>
  </si>
  <si>
    <t>Стойка силы для дальнего боя</t>
  </si>
  <si>
    <t>Стойка точности для дальнего боя</t>
  </si>
  <si>
    <t>Восторг</t>
  </si>
  <si>
    <t>Рикошет</t>
  </si>
  <si>
    <t>Карма отшельника</t>
  </si>
  <si>
    <t>Тактический отход</t>
  </si>
  <si>
    <t>Лечение отравлений</t>
  </si>
  <si>
    <t>Град стрел</t>
  </si>
  <si>
    <t>Вихрь стрел</t>
  </si>
  <si>
    <t>Залп</t>
  </si>
  <si>
    <t>Заражение</t>
  </si>
  <si>
    <t>Малое очарование</t>
  </si>
  <si>
    <t xml:space="preserve">Ловкость персонажа </t>
  </si>
  <si>
    <t>Оружие 
дальн.</t>
  </si>
  <si>
    <t>6 АОЕ</t>
  </si>
  <si>
    <t>Оружие 
клинок</t>
  </si>
  <si>
    <t>Чарующее касание</t>
  </si>
  <si>
    <t>Плащ и кинжал</t>
  </si>
  <si>
    <t>Клинки наголо</t>
  </si>
  <si>
    <t>Быстрота</t>
  </si>
  <si>
    <t>Разрывы</t>
  </si>
  <si>
    <t>Точный надрез</t>
  </si>
  <si>
    <t>Лезвие бритвы</t>
  </si>
  <si>
    <t>Самолечение</t>
  </si>
  <si>
    <t>Ядовитый удар</t>
  </si>
  <si>
    <t>Прогулка в тенях</t>
  </si>
  <si>
    <t>Заводная игрушка</t>
  </si>
  <si>
    <t>Выбивание глаз</t>
  </si>
  <si>
    <t>Спотыкание (путешествие)</t>
  </si>
  <si>
    <t>4 (6 АОЕ)</t>
  </si>
  <si>
    <t>Эффект</t>
  </si>
  <si>
    <t>Действие</t>
  </si>
  <si>
    <t>Наложение</t>
  </si>
  <si>
    <t>Снятие</t>
  </si>
  <si>
    <t>Кровотечение</t>
  </si>
  <si>
    <t>Слепота</t>
  </si>
  <si>
    <t>Горение</t>
  </si>
  <si>
    <t>Проклятье</t>
  </si>
  <si>
    <t>Болезнь</t>
  </si>
  <si>
    <t>Опьянение</t>
  </si>
  <si>
    <t>Инфекция</t>
  </si>
  <si>
    <t>Замедление</t>
  </si>
  <si>
    <t>Влага</t>
  </si>
  <si>
    <t>Благословление</t>
  </si>
  <si>
    <t>Лечение</t>
  </si>
  <si>
    <t>Удача</t>
  </si>
  <si>
    <t>Торнадо</t>
  </si>
  <si>
    <t>Масло</t>
  </si>
  <si>
    <t>Лава</t>
  </si>
  <si>
    <t>Отравление</t>
  </si>
  <si>
    <t>Противодействие</t>
  </si>
  <si>
    <t>Характеристики</t>
  </si>
  <si>
    <t>Враг, атакующий в ближнем бою</t>
  </si>
  <si>
    <t>Поглощение урона</t>
  </si>
  <si>
    <t>225% 
от фактич. здоровья</t>
  </si>
  <si>
    <t xml:space="preserve"> Воздушный щит</t>
  </si>
  <si>
    <t xml:space="preserve"> Земляной щит</t>
  </si>
  <si>
    <t xml:space="preserve"> Водный щит</t>
  </si>
  <si>
    <t xml:space="preserve"> Огненный щит</t>
  </si>
  <si>
    <t xml:space="preserve"> Оглушение</t>
  </si>
  <si>
    <t xml:space="preserve"> Отравление</t>
  </si>
  <si>
    <t xml:space="preserve"> Заморозка</t>
  </si>
  <si>
    <t xml:space="preserve"> Горение</t>
  </si>
  <si>
    <t xml:space="preserve"> Противовоздушный щит</t>
  </si>
  <si>
    <t xml:space="preserve"> Щит сопротивления земле</t>
  </si>
  <si>
    <t xml:space="preserve"> Щит сопротивления воде</t>
  </si>
  <si>
    <t xml:space="preserve"> Огнеупорный щит</t>
  </si>
  <si>
    <t>Особенности</t>
  </si>
  <si>
    <t>Одновременно могут быть бафы всех стихий 
(иконка нового бафа отображается после исчезновения предыдущего)</t>
  </si>
  <si>
    <t xml:space="preserve"> Воздух</t>
  </si>
  <si>
    <t xml:space="preserve"> Земля</t>
  </si>
  <si>
    <t xml:space="preserve"> Яд</t>
  </si>
  <si>
    <t xml:space="preserve"> Вода</t>
  </si>
  <si>
    <t xml:space="preserve"> Огонь</t>
  </si>
  <si>
    <t>Невосприимчивость к электричеству</t>
  </si>
  <si>
    <t>Противовоздушный щит</t>
  </si>
  <si>
    <t>Щит сопротивления земле</t>
  </si>
  <si>
    <t>Щит сопротивления воде</t>
  </si>
  <si>
    <t>Огнеупорный щит</t>
  </si>
  <si>
    <t>Увечье</t>
  </si>
  <si>
    <t>Броня</t>
  </si>
  <si>
    <t xml:space="preserve"> Невосприимчивость к 
 электричеству</t>
  </si>
  <si>
    <t xml:space="preserve"> Невосприимчивость к 
 яду</t>
  </si>
  <si>
    <t xml:space="preserve"> Невосприимчивость к 
 огню</t>
  </si>
  <si>
    <t xml:space="preserve"> Невосприимчивость к 
 холоду</t>
  </si>
  <si>
    <t>Защита от огня</t>
  </si>
  <si>
    <t>Защита от воды</t>
  </si>
  <si>
    <t>Запрет на действия</t>
  </si>
  <si>
    <t>Охлаждение</t>
  </si>
  <si>
    <t>Крепость тела</t>
  </si>
  <si>
    <t>Защита от воздуха</t>
  </si>
  <si>
    <t>Пронзающая льдинка элементаля</t>
  </si>
  <si>
    <t>Восстановление здоровья</t>
  </si>
  <si>
    <t>= 1</t>
  </si>
  <si>
    <t>Урон</t>
  </si>
  <si>
    <t>Сила воли</t>
  </si>
  <si>
    <t>Слабость</t>
  </si>
  <si>
    <t xml:space="preserve">Неполучение урона </t>
  </si>
  <si>
    <t>Только на себя</t>
  </si>
  <si>
    <t>Действует одновременно 
с другими 
стихийными бафами</t>
  </si>
  <si>
    <t>Сила воли (1 = +10%)</t>
  </si>
  <si>
    <t>Крепость тела (1 = +10%)</t>
  </si>
  <si>
    <t>Наносит урон</t>
  </si>
  <si>
    <t>Смерть</t>
  </si>
  <si>
    <t>N</t>
  </si>
  <si>
    <t>Талант "вечное дитя"</t>
  </si>
  <si>
    <t>Все атрибуты</t>
  </si>
  <si>
    <t>Талисман удачи</t>
  </si>
  <si>
    <t>Знаток легенд</t>
  </si>
  <si>
    <t>Способности (оружие)</t>
  </si>
  <si>
    <t>Способности (защита)</t>
  </si>
  <si>
    <t>Способности (злодеяния)</t>
  </si>
  <si>
    <t>Атака элементаля льда</t>
  </si>
  <si>
    <t>Цель становится союзником</t>
  </si>
  <si>
    <t>Запрет на использование умений</t>
  </si>
  <si>
    <t>Действует только 
на обычную атаку</t>
  </si>
  <si>
    <t>Талисман удачи +2</t>
  </si>
  <si>
    <t>Невосприимчивость ко всем 
эффектам, бафам и дебафам, 
включая зелья, еду и питье (в 
том числе, снятие действующих)</t>
  </si>
  <si>
    <t>Неуязвимость (только на себя)</t>
  </si>
  <si>
    <t>Потеря сознания</t>
  </si>
  <si>
    <t>Таран</t>
  </si>
  <si>
    <t>Тепло</t>
  </si>
  <si>
    <t>Рука помощи (не на себя)</t>
  </si>
  <si>
    <t>Одновременно может быть только один баф (новый отменяет действие старого)</t>
  </si>
  <si>
    <t>Одновременно может быть только один дебаф (новый отменяет действие старого)</t>
  </si>
  <si>
    <t>Защита от урона</t>
  </si>
  <si>
    <t>Быстрый разряд</t>
  </si>
  <si>
    <t>Лютый мороз</t>
  </si>
  <si>
    <t>Цепь молний</t>
  </si>
  <si>
    <t>Дурная голова</t>
  </si>
  <si>
    <t>Невидимость</t>
  </si>
  <si>
    <t>Невидимость (только на себя)</t>
  </si>
  <si>
    <t>Атака или заклинание</t>
  </si>
  <si>
    <t>Электрическое касание</t>
  </si>
  <si>
    <t>Буря</t>
  </si>
  <si>
    <t>Быстрый разряд элементаля</t>
  </si>
  <si>
    <t>Атака элементаля воздуха</t>
  </si>
  <si>
    <t>Атака нежити-палача</t>
  </si>
  <si>
    <t>Метеоритный дождь</t>
  </si>
  <si>
    <t>Снятие: 
    Очищающий 
огонь
Одновременно может быть щит только одной стихии (новый отменяет действие старого)</t>
  </si>
  <si>
    <t>Стихийный жар элементаля</t>
  </si>
  <si>
    <t>Атака элементаля огня</t>
  </si>
  <si>
    <t>Ускорение</t>
  </si>
  <si>
    <t>Едкое дыхание</t>
  </si>
  <si>
    <t>Атака осы-кровопийцы</t>
  </si>
  <si>
    <t>Смертельные споры элементаля</t>
  </si>
  <si>
    <t>Атака элементаля земли</t>
  </si>
  <si>
    <t>Атака паука</t>
  </si>
  <si>
    <t xml:space="preserve">Атака волка </t>
  </si>
  <si>
    <t>Быстрота (только на себя)</t>
  </si>
  <si>
    <t>Спотыкание</t>
  </si>
  <si>
    <t>Взрыв бомбы</t>
  </si>
  <si>
    <t>Хаотичное движение</t>
  </si>
  <si>
    <t>Алкоголь</t>
  </si>
  <si>
    <t>Заражает ближайших</t>
  </si>
  <si>
    <t>Запрет на бег</t>
  </si>
  <si>
    <t>Уменьшение груза</t>
  </si>
  <si>
    <t>Талант "грузчик"</t>
  </si>
  <si>
    <t>Сила (1 = +20)</t>
  </si>
  <si>
    <t>Большой вес</t>
  </si>
  <si>
    <t xml:space="preserve"> Поглощение стихий</t>
  </si>
  <si>
    <t xml:space="preserve"> Здоровье увеличено</t>
  </si>
  <si>
    <t xml:space="preserve"> Ясновидение</t>
  </si>
  <si>
    <t xml:space="preserve"> Огненные глаза</t>
  </si>
  <si>
    <t xml:space="preserve"> Клятва осквернения</t>
  </si>
  <si>
    <t xml:space="preserve"> Стойка силы</t>
  </si>
  <si>
    <t xml:space="preserve"> Стойка точности</t>
  </si>
  <si>
    <t xml:space="preserve"> Воодушевление</t>
  </si>
  <si>
    <t xml:space="preserve"> Вдохновение</t>
  </si>
  <si>
    <t xml:space="preserve"> Превращение в воздух
 (только на себя)</t>
  </si>
  <si>
    <t xml:space="preserve"> Живая вода</t>
  </si>
  <si>
    <t xml:space="preserve"> Стойка силы для дальнего 
 боя</t>
  </si>
  <si>
    <t xml:space="preserve"> Стойка силы для ближнего 
 боя</t>
  </si>
  <si>
    <t xml:space="preserve"> Стойка точности для 
 дальнего боя</t>
  </si>
  <si>
    <t xml:space="preserve"> Стойка точности для 
 ближнего боя</t>
  </si>
  <si>
    <t xml:space="preserve"> Колющее</t>
  </si>
  <si>
    <t xml:space="preserve"> Рубящее</t>
  </si>
  <si>
    <t xml:space="preserve"> Дробящее</t>
  </si>
  <si>
    <t xml:space="preserve"> Телосложение</t>
  </si>
  <si>
    <t xml:space="preserve"> Зрение</t>
  </si>
  <si>
    <t xml:space="preserve"> Шанс ударить</t>
  </si>
  <si>
    <t xml:space="preserve"> Восприятие</t>
  </si>
  <si>
    <t xml:space="preserve"> Урон</t>
  </si>
  <si>
    <t xml:space="preserve"> Затраты ОД</t>
  </si>
  <si>
    <t xml:space="preserve"> Сила</t>
  </si>
  <si>
    <t xml:space="preserve"> Ловкость</t>
  </si>
  <si>
    <t xml:space="preserve"> Интеллект</t>
  </si>
  <si>
    <t xml:space="preserve"> Скорость</t>
  </si>
  <si>
    <t xml:space="preserve"> Сила воли понижена</t>
  </si>
  <si>
    <t xml:space="preserve"> Иссушение души</t>
  </si>
  <si>
    <t xml:space="preserve"> Потеря силы воли</t>
  </si>
  <si>
    <t xml:space="preserve"> Сопротивление понижено</t>
  </si>
  <si>
    <t xml:space="preserve"> Сопротивление отсутствует</t>
  </si>
  <si>
    <t xml:space="preserve"> Тенебрий</t>
  </si>
  <si>
    <t xml:space="preserve"> Божественный свет</t>
  </si>
  <si>
    <t xml:space="preserve"> Снижение сопротивления</t>
  </si>
  <si>
    <t xml:space="preserve"> Полная уязвимость</t>
  </si>
  <si>
    <r>
      <t>Горение (</t>
    </r>
    <r>
      <rPr>
        <i/>
        <sz val="11"/>
        <color theme="1"/>
        <rFont val="Calibri"/>
        <family val="2"/>
        <charset val="204"/>
        <scheme val="minor"/>
      </rPr>
      <t>Тепло</t>
    </r>
    <r>
      <rPr>
        <sz val="11"/>
        <color theme="1"/>
        <rFont val="Calibri"/>
        <family val="2"/>
        <charset val="204"/>
        <scheme val="minor"/>
      </rPr>
      <t>)</t>
    </r>
  </si>
  <si>
    <r>
      <t>Заморозка (</t>
    </r>
    <r>
      <rPr>
        <i/>
        <sz val="11"/>
        <color theme="1"/>
        <rFont val="Calibri"/>
        <family val="2"/>
        <charset val="204"/>
        <scheme val="minor"/>
      </rPr>
      <t>Заморозка</t>
    </r>
    <r>
      <rPr>
        <sz val="11"/>
        <color theme="1"/>
        <rFont val="Calibri"/>
        <family val="2"/>
        <charset val="204"/>
        <scheme val="minor"/>
      </rPr>
      <t>)</t>
    </r>
  </si>
  <si>
    <r>
      <t>Охлаждение (</t>
    </r>
    <r>
      <rPr>
        <i/>
        <sz val="11"/>
        <color theme="1"/>
        <rFont val="Calibri"/>
        <family val="2"/>
        <charset val="204"/>
        <scheme val="minor"/>
      </rPr>
      <t>Заморозка</t>
    </r>
    <r>
      <rPr>
        <sz val="11"/>
        <color theme="1"/>
        <rFont val="Calibri"/>
        <family val="2"/>
        <charset val="204"/>
        <scheme val="minor"/>
      </rPr>
      <t>)</t>
    </r>
  </si>
  <si>
    <r>
      <t>Заморозка (</t>
    </r>
    <r>
      <rPr>
        <i/>
        <sz val="11"/>
        <color theme="1"/>
        <rFont val="Calibri"/>
        <family val="2"/>
        <charset val="204"/>
        <scheme val="minor"/>
      </rPr>
      <t>Охлаждение</t>
    </r>
    <r>
      <rPr>
        <sz val="11"/>
        <color theme="1"/>
        <rFont val="Calibri"/>
        <family val="2"/>
        <charset val="204"/>
        <scheme val="minor"/>
      </rPr>
      <t>)</t>
    </r>
  </si>
  <si>
    <r>
      <t>Охлаждение (</t>
    </r>
    <r>
      <rPr>
        <i/>
        <sz val="11"/>
        <color theme="1"/>
        <rFont val="Calibri"/>
        <family val="2"/>
        <charset val="204"/>
        <scheme val="minor"/>
      </rPr>
      <t>Тепло</t>
    </r>
    <r>
      <rPr>
        <sz val="11"/>
        <color theme="1"/>
        <rFont val="Calibri"/>
        <family val="2"/>
        <charset val="204"/>
        <scheme val="minor"/>
      </rPr>
      <t>)</t>
    </r>
  </si>
  <si>
    <r>
      <t>Горение (</t>
    </r>
    <r>
      <rPr>
        <i/>
        <sz val="11"/>
        <color theme="1"/>
        <rFont val="Calibri"/>
        <family val="2"/>
        <charset val="204"/>
        <scheme val="minor"/>
      </rPr>
      <t>Влага</t>
    </r>
    <r>
      <rPr>
        <sz val="11"/>
        <color theme="1"/>
        <rFont val="Calibri"/>
        <family val="2"/>
        <charset val="204"/>
        <scheme val="minor"/>
      </rPr>
      <t>)</t>
    </r>
  </si>
  <si>
    <r>
      <t>Тепло (</t>
    </r>
    <r>
      <rPr>
        <i/>
        <sz val="11"/>
        <color theme="1"/>
        <rFont val="Calibri"/>
        <family val="2"/>
        <charset val="204"/>
        <scheme val="minor"/>
      </rPr>
      <t>Охлаждение</t>
    </r>
    <r>
      <rPr>
        <sz val="11"/>
        <color theme="1"/>
        <rFont val="Calibri"/>
        <family val="2"/>
        <charset val="204"/>
        <scheme val="minor"/>
      </rPr>
      <t>)</t>
    </r>
  </si>
  <si>
    <r>
      <t>Горение (</t>
    </r>
    <r>
      <rPr>
        <i/>
        <sz val="11"/>
        <color theme="1"/>
        <rFont val="Calibri"/>
        <family val="2"/>
        <charset val="204"/>
        <scheme val="minor"/>
      </rPr>
      <t>Горение</t>
    </r>
    <r>
      <rPr>
        <sz val="11"/>
        <color theme="1"/>
        <rFont val="Calibri"/>
        <family val="2"/>
        <charset val="204"/>
        <scheme val="minor"/>
      </rPr>
      <t>)</t>
    </r>
  </si>
  <si>
    <r>
      <t>Тепло (</t>
    </r>
    <r>
      <rPr>
        <i/>
        <sz val="11"/>
        <color theme="1"/>
        <rFont val="Calibri"/>
        <family val="2"/>
        <charset val="204"/>
        <scheme val="minor"/>
      </rPr>
      <t>Горение</t>
    </r>
    <r>
      <rPr>
        <sz val="11"/>
        <color theme="1"/>
        <rFont val="Calibri"/>
        <family val="2"/>
        <charset val="204"/>
        <scheme val="minor"/>
      </rPr>
      <t>)</t>
    </r>
  </si>
  <si>
    <t>Лидерство-5</t>
  </si>
  <si>
    <t>Талант "храбрость"</t>
  </si>
  <si>
    <t>Черта "духовность"</t>
  </si>
  <si>
    <t>Черта "всепрощение"</t>
  </si>
  <si>
    <t>Черта "прямодушие"</t>
  </si>
  <si>
    <t>Талант "громоотвод"</t>
  </si>
  <si>
    <t>Талант "светило магии"</t>
  </si>
  <si>
    <t>Талант "упорство"</t>
  </si>
  <si>
    <t>Талант "упрямство" (+20%)</t>
  </si>
  <si>
    <t>Талант "зомби"</t>
  </si>
  <si>
    <t>Талант "пиявка"</t>
  </si>
  <si>
    <r>
      <t>Влага (</t>
    </r>
    <r>
      <rPr>
        <i/>
        <sz val="11"/>
        <color theme="1"/>
        <rFont val="Calibri"/>
        <family val="2"/>
        <charset val="204"/>
        <scheme val="minor"/>
      </rPr>
      <t>Тепло</t>
    </r>
    <r>
      <rPr>
        <sz val="11"/>
        <color theme="1"/>
        <rFont val="Calibri"/>
        <family val="2"/>
        <charset val="204"/>
        <scheme val="minor"/>
      </rPr>
      <t>)</t>
    </r>
  </si>
  <si>
    <r>
      <t>Заморозка (</t>
    </r>
    <r>
      <rPr>
        <i/>
        <sz val="11"/>
        <color theme="1"/>
        <rFont val="Calibri"/>
        <family val="2"/>
        <charset val="204"/>
        <scheme val="minor"/>
      </rPr>
      <t>Влага</t>
    </r>
    <r>
      <rPr>
        <sz val="11"/>
        <color theme="1"/>
        <rFont val="Calibri"/>
        <family val="2"/>
        <charset val="204"/>
        <scheme val="minor"/>
      </rPr>
      <t>)</t>
    </r>
  </si>
  <si>
    <r>
      <t>Горение (</t>
    </r>
    <r>
      <rPr>
        <i/>
        <sz val="11"/>
        <color theme="1"/>
        <rFont val="Calibri"/>
        <family val="2"/>
        <charset val="204"/>
        <scheme val="minor"/>
      </rPr>
      <t>Охлаждение</t>
    </r>
    <r>
      <rPr>
        <sz val="11"/>
        <color theme="1"/>
        <rFont val="Calibri"/>
        <family val="2"/>
        <charset val="204"/>
        <scheme val="minor"/>
      </rPr>
      <t>)</t>
    </r>
  </si>
  <si>
    <r>
      <t>Влага (</t>
    </r>
    <r>
      <rPr>
        <i/>
        <sz val="11"/>
        <color theme="1"/>
        <rFont val="Calibri"/>
        <family val="2"/>
        <charset val="204"/>
        <scheme val="minor"/>
      </rPr>
      <t>Заморозка</t>
    </r>
    <r>
      <rPr>
        <sz val="11"/>
        <color theme="1"/>
        <rFont val="Calibri"/>
        <family val="2"/>
        <charset val="204"/>
        <scheme val="minor"/>
      </rPr>
      <t>)</t>
    </r>
  </si>
  <si>
    <t>Кровь</t>
  </si>
  <si>
    <t>Лед</t>
  </si>
  <si>
    <t>Слизь</t>
  </si>
  <si>
    <t>Вода под током</t>
  </si>
  <si>
    <t>Кровь под током</t>
  </si>
  <si>
    <t>Ледяная стена (разрушение)</t>
  </si>
  <si>
    <t>Смерть элементаля льда</t>
  </si>
  <si>
    <t>Смерть элементаля воздуха</t>
  </si>
  <si>
    <t>Смерть элементаля огня</t>
  </si>
  <si>
    <t>Урон от стихии воздуха</t>
  </si>
  <si>
    <t>Водяная стрела</t>
  </si>
  <si>
    <t>Оглушающая стрела</t>
  </si>
  <si>
    <t>Огненная стрела</t>
  </si>
  <si>
    <t>Разрывная стрела</t>
  </si>
  <si>
    <t>Отравленная стрела</t>
  </si>
  <si>
    <t>Замораживающая стрела</t>
  </si>
  <si>
    <t>Статическая стрела</t>
  </si>
  <si>
    <t>Газовая стрела</t>
  </si>
  <si>
    <t>Дымовая стрела</t>
  </si>
  <si>
    <t>Паровая стрела</t>
  </si>
  <si>
    <t>Статическое облако</t>
  </si>
  <si>
    <t>Облако дыма</t>
  </si>
  <si>
    <t>Ядовитое облако</t>
  </si>
  <si>
    <t>Облако пара</t>
  </si>
  <si>
    <t>Смерть элементаля земли</t>
  </si>
  <si>
    <t>Самолечение (на себя)</t>
  </si>
  <si>
    <t>Урон от стихии огня</t>
  </si>
  <si>
    <t>15 (2 АОЕ)</t>
  </si>
  <si>
    <t>Дождь (лужа)</t>
  </si>
  <si>
    <t>Состояние поверхности</t>
  </si>
  <si>
    <t>Воздействие на поверхность</t>
  </si>
  <si>
    <t>Результат</t>
  </si>
  <si>
    <t>Эффекты поверхности</t>
  </si>
  <si>
    <t>Огонь + Ядовитое облако</t>
  </si>
  <si>
    <t>Огонь + Облако дыма</t>
  </si>
  <si>
    <t>Состояния поверхности</t>
  </si>
  <si>
    <t>Замерзшая кровь</t>
  </si>
  <si>
    <t>Вода + Облако пара</t>
  </si>
  <si>
    <t>Вода под током + Статическое облако</t>
  </si>
  <si>
    <t>Огонь + Статическое облако</t>
  </si>
  <si>
    <t>Эффекты</t>
  </si>
  <si>
    <t>Невозможность прицеливания</t>
  </si>
  <si>
    <t>Взрыв (при горении)</t>
  </si>
  <si>
    <t>Воздействие</t>
  </si>
  <si>
    <t>Разное</t>
  </si>
  <si>
    <t>Стихия</t>
  </si>
  <si>
    <t>Способность</t>
  </si>
  <si>
    <t>Стихийные стрелы</t>
  </si>
  <si>
    <t>Стихийное оружие</t>
  </si>
  <si>
    <t>Гидрософистика</t>
  </si>
  <si>
    <t>Аэротеургия</t>
  </si>
  <si>
    <t>Пирокинетика</t>
  </si>
  <si>
    <t>Преступник</t>
  </si>
  <si>
    <t>Ополченец</t>
  </si>
  <si>
    <t>Геомантия</t>
  </si>
  <si>
    <t>Вода + Статическое облако</t>
  </si>
  <si>
    <t>Дополнительно</t>
  </si>
  <si>
    <t>влияние на поверхность за пределами воздействия</t>
  </si>
  <si>
    <t>Электричество</t>
  </si>
  <si>
    <t>Полная очистка поверхности</t>
  </si>
  <si>
    <t>Cпособы создания поверхности</t>
  </si>
  <si>
    <t>для выбора стихии необходимо очистить поле «Способность»</t>
  </si>
  <si>
    <t>для выбора способности необходимо очистить поле «Навык»</t>
  </si>
  <si>
    <t>Прогулка в тенях (только на себя)</t>
  </si>
  <si>
    <t>Чарующая стрела</t>
  </si>
  <si>
    <t>Сбивающая с ног стрела</t>
  </si>
  <si>
    <t>Замедляющая стрела</t>
  </si>
  <si>
    <t>Сила понижена</t>
  </si>
  <si>
    <t>Ослабляющая стрела</t>
  </si>
  <si>
    <t>Ловкость понижена</t>
  </si>
  <si>
    <t>Мешающая стрела</t>
  </si>
  <si>
    <t>Иссушающая стрела</t>
  </si>
  <si>
    <t>Телосложение понижено</t>
  </si>
  <si>
    <t>Стрела неспешности</t>
  </si>
  <si>
    <t>Скорость понижена</t>
  </si>
  <si>
    <t>Все основные характеристики понижены</t>
  </si>
  <si>
    <t>Проклинающая стрела</t>
  </si>
  <si>
    <t>Броня понижена</t>
  </si>
  <si>
    <t>Серебряная стрела</t>
  </si>
  <si>
    <t>Стрела невежества</t>
  </si>
  <si>
    <t>Интеллект понижен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</si>
</sst>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0%;\-0%;0%"/>
    <numFmt numFmtId="165" formatCode="???/100"/>
    <numFmt numFmtId="166" formatCode="\+0;\-0;0"/>
    <numFmt numFmtId="167" formatCode="\+0.00;\-0.00;0.00"/>
    <numFmt numFmtId="168" formatCode="0;\-0;;@"/>
  </numFmts>
  <fonts count="6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.5"/>
      <name val="Calibri"/>
      <family val="2"/>
      <charset val="204"/>
      <scheme val="minor"/>
    </font>
    <font>
      <sz val="11"/>
      <color rgb="FF669999"/>
      <name val="Calibri"/>
      <family val="2"/>
      <charset val="204"/>
      <scheme val="minor"/>
    </font>
    <font>
      <b/>
      <sz val="11"/>
      <color rgb="FFB88AE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5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A30000"/>
      <name val="Calibri"/>
      <family val="2"/>
      <charset val="204"/>
      <scheme val="minor"/>
    </font>
    <font>
      <sz val="11"/>
      <color rgb="FFFF3300"/>
      <name val="Calibri"/>
      <family val="2"/>
      <charset val="204"/>
      <scheme val="minor"/>
    </font>
    <font>
      <sz val="11"/>
      <color rgb="FF8F8F8F"/>
      <name val="Calibri"/>
      <family val="2"/>
      <charset val="204"/>
      <scheme val="minor"/>
    </font>
    <font>
      <sz val="11"/>
      <color rgb="FFCCA300"/>
      <name val="Calibri"/>
      <family val="2"/>
      <charset val="204"/>
      <scheme val="minor"/>
    </font>
    <font>
      <sz val="11"/>
      <color rgb="FF6600CC"/>
      <name val="Calibri"/>
      <family val="2"/>
      <charset val="204"/>
      <scheme val="minor"/>
    </font>
    <font>
      <sz val="11"/>
      <color rgb="FFE65CE6"/>
      <name val="Calibri"/>
      <family val="2"/>
      <charset val="204"/>
      <scheme val="minor"/>
    </font>
    <font>
      <sz val="11"/>
      <color rgb="FF666699"/>
      <name val="Calibri"/>
      <family val="2"/>
      <charset val="204"/>
      <scheme val="minor"/>
    </font>
    <font>
      <sz val="11"/>
      <color rgb="FFFFCC66"/>
      <name val="Calibri"/>
      <family val="2"/>
      <charset val="204"/>
      <scheme val="minor"/>
    </font>
    <font>
      <sz val="11"/>
      <color rgb="FFE688E6"/>
      <name val="Calibri"/>
      <family val="2"/>
      <charset val="204"/>
      <scheme val="minor"/>
    </font>
    <font>
      <sz val="11"/>
      <color rgb="FF996633"/>
      <name val="Calibri"/>
      <family val="2"/>
      <charset val="204"/>
      <scheme val="minor"/>
    </font>
    <font>
      <sz val="11"/>
      <color rgb="FFFFCCCC"/>
      <name val="Calibri"/>
      <family val="2"/>
      <charset val="204"/>
      <scheme val="minor"/>
    </font>
    <font>
      <sz val="11"/>
      <color rgb="FF00CCFF"/>
      <name val="Calibri"/>
      <family val="2"/>
      <charset val="204"/>
      <scheme val="minor"/>
    </font>
    <font>
      <sz val="11"/>
      <color rgb="FF33CC33"/>
      <name val="Calibri"/>
      <family val="2"/>
      <charset val="204"/>
      <scheme val="minor"/>
    </font>
    <font>
      <sz val="11"/>
      <color rgb="FF5CD6FF"/>
      <name val="Calibri"/>
      <family val="2"/>
      <charset val="204"/>
      <scheme val="minor"/>
    </font>
    <font>
      <sz val="11"/>
      <color theme="1"/>
      <name val="Wingdings"/>
      <charset val="2"/>
    </font>
    <font>
      <sz val="11"/>
      <color rgb="FFCCCC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454545"/>
      <name val="Calibri"/>
      <family val="2"/>
      <charset val="204"/>
      <scheme val="minor"/>
    </font>
    <font>
      <b/>
      <sz val="11"/>
      <color rgb="FFBD0000"/>
      <name val="Calibri"/>
      <family val="2"/>
      <charset val="204"/>
      <scheme val="minor"/>
    </font>
    <font>
      <b/>
      <sz val="11"/>
      <color rgb="FFB50000"/>
      <name val="Calibri"/>
      <family val="2"/>
      <charset val="204"/>
      <scheme val="minor"/>
    </font>
    <font>
      <b/>
      <sz val="11"/>
      <color rgb="FF776CCF"/>
      <name val="Calibri"/>
      <family val="2"/>
      <charset val="204"/>
      <scheme val="minor"/>
    </font>
    <font>
      <b/>
      <sz val="11"/>
      <color rgb="FF65C800"/>
      <name val="Calibri"/>
      <family val="2"/>
      <charset val="204"/>
      <scheme val="minor"/>
    </font>
    <font>
      <b/>
      <sz val="11"/>
      <color rgb="FF94F6F9"/>
      <name val="Calibri"/>
      <family val="2"/>
      <charset val="204"/>
      <scheme val="minor"/>
    </font>
    <font>
      <b/>
      <sz val="11"/>
      <color rgb="FFFFB8B8"/>
      <name val="Calibri"/>
      <family val="2"/>
      <charset val="204"/>
      <scheme val="minor"/>
    </font>
    <font>
      <b/>
      <sz val="11"/>
      <color rgb="FF3BADF7"/>
      <name val="Calibri"/>
      <family val="2"/>
      <charset val="204"/>
      <scheme val="minor"/>
    </font>
    <font>
      <b/>
      <sz val="11"/>
      <color rgb="FFEED63E"/>
      <name val="Calibri"/>
      <family val="2"/>
      <charset val="204"/>
      <scheme val="minor"/>
    </font>
    <font>
      <b/>
      <sz val="11"/>
      <color rgb="FFB87A57"/>
      <name val="Calibri"/>
      <family val="2"/>
      <charset val="204"/>
      <scheme val="minor"/>
    </font>
    <font>
      <b/>
      <sz val="11"/>
      <color rgb="FF3AABF5"/>
      <name val="Calibri"/>
      <family val="2"/>
      <charset val="204"/>
      <scheme val="minor"/>
    </font>
    <font>
      <b/>
      <sz val="11"/>
      <color rgb="FFF16A0F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b/>
      <sz val="11"/>
      <color rgb="FFCF5B0D"/>
      <name val="Calibri"/>
      <family val="2"/>
      <charset val="204"/>
      <scheme val="minor"/>
    </font>
    <font>
      <b/>
      <sz val="11"/>
      <color rgb="FF3AAAF3"/>
      <name val="Calibri"/>
      <family val="2"/>
      <charset val="204"/>
      <scheme val="minor"/>
    </font>
    <font>
      <b/>
      <sz val="11"/>
      <color rgb="FFBDE4FF"/>
      <name val="Calibri"/>
      <family val="2"/>
      <charset val="204"/>
      <scheme val="minor"/>
    </font>
    <font>
      <b/>
      <sz val="11"/>
      <color rgb="FFA0B6C5"/>
      <name val="Calibri"/>
      <family val="2"/>
      <charset val="204"/>
      <scheme val="minor"/>
    </font>
    <font>
      <b/>
      <sz val="11"/>
      <color rgb="FFFF9600"/>
      <name val="Calibri"/>
      <family val="2"/>
      <charset val="204"/>
      <scheme val="minor"/>
    </font>
    <font>
      <b/>
      <sz val="11"/>
      <color rgb="FFC7A758"/>
      <name val="Calibri"/>
      <family val="2"/>
      <charset val="204"/>
      <scheme val="minor"/>
    </font>
    <font>
      <b/>
      <sz val="11"/>
      <color rgb="FF7D71D9"/>
      <name val="Calibri"/>
      <family val="2"/>
      <charset val="204"/>
      <scheme val="minor"/>
    </font>
    <font>
      <b/>
      <sz val="11"/>
      <color rgb="FF7F00FF"/>
      <name val="Calibri"/>
      <family val="2"/>
      <charset val="204"/>
      <scheme val="minor"/>
    </font>
    <font>
      <b/>
      <sz val="11"/>
      <color rgb="FFBFA055"/>
      <name val="Calibri"/>
      <family val="2"/>
      <charset val="204"/>
      <scheme val="minor"/>
    </font>
    <font>
      <b/>
      <sz val="11"/>
      <color rgb="FFBFA155"/>
      <name val="Calibri"/>
      <family val="2"/>
      <charset val="204"/>
      <scheme val="minor"/>
    </font>
    <font>
      <b/>
      <sz val="11"/>
      <color rgb="FFCD0000"/>
      <name val="Calibri"/>
      <family val="2"/>
      <charset val="204"/>
      <scheme val="minor"/>
    </font>
    <font>
      <b/>
      <sz val="11"/>
      <color rgb="FF766BCD"/>
      <name val="Calibri"/>
      <family val="2"/>
      <charset val="204"/>
      <scheme val="minor"/>
    </font>
    <font>
      <sz val="11"/>
      <color rgb="FFCD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color rgb="FFC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4" tint="-0.499984740745262"/>
      <name val="Calibri"/>
      <family val="2"/>
      <charset val="204"/>
      <scheme val="minor"/>
    </font>
    <font>
      <sz val="7"/>
      <color rgb="FFCF5B0D"/>
      <name val="Calibri"/>
      <family val="2"/>
      <charset val="204"/>
      <scheme val="minor"/>
    </font>
    <font>
      <sz val="8.5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F0F6"/>
        <bgColor indexed="64"/>
      </patternFill>
    </fill>
  </fills>
  <borders count="7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1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locked="0"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 hidden="1"/>
    </xf>
    <xf numFmtId="0" fontId="0" fillId="0" borderId="33" xfId="0" applyFont="1" applyBorder="1" applyProtection="1">
      <protection hidden="1"/>
    </xf>
    <xf numFmtId="0" fontId="0" fillId="0" borderId="33" xfId="0" applyBorder="1" applyProtection="1">
      <protection hidden="1"/>
    </xf>
    <xf numFmtId="1" fontId="0" fillId="0" borderId="24" xfId="0" applyNumberFormat="1" applyBorder="1" applyAlignment="1" applyProtection="1">
      <alignment horizontal="center" vertical="center"/>
      <protection locked="0" hidden="1"/>
    </xf>
    <xf numFmtId="1" fontId="0" fillId="0" borderId="25" xfId="0" applyNumberFormat="1" applyBorder="1" applyAlignment="1" applyProtection="1">
      <alignment horizontal="center" vertical="center"/>
      <protection hidden="1"/>
    </xf>
    <xf numFmtId="1" fontId="0" fillId="0" borderId="34" xfId="0" applyNumberFormat="1" applyBorder="1" applyAlignment="1" applyProtection="1">
      <alignment horizontal="center" vertical="center"/>
      <protection locked="0" hidden="1"/>
    </xf>
    <xf numFmtId="0" fontId="0" fillId="0" borderId="3" xfId="0" applyBorder="1" applyProtection="1">
      <protection locked="0" hidden="1"/>
    </xf>
    <xf numFmtId="0" fontId="0" fillId="0" borderId="34" xfId="0" applyFont="1" applyBorder="1" applyProtection="1">
      <protection hidden="1"/>
    </xf>
    <xf numFmtId="0" fontId="0" fillId="0" borderId="34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20" xfId="0" applyBorder="1" applyAlignment="1" applyProtection="1">
      <alignment horizontal="center" vertical="center"/>
      <protection locked="0" hidden="1"/>
    </xf>
    <xf numFmtId="1" fontId="0" fillId="0" borderId="26" xfId="0" applyNumberFormat="1" applyBorder="1" applyAlignment="1" applyProtection="1">
      <alignment horizontal="center" vertical="center"/>
      <protection locked="0" hidden="1"/>
    </xf>
    <xf numFmtId="1" fontId="0" fillId="0" borderId="29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locked="0" hidden="1"/>
    </xf>
    <xf numFmtId="9" fontId="0" fillId="0" borderId="42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35" xfId="0" applyBorder="1" applyProtection="1"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locked="0" hidden="1"/>
    </xf>
    <xf numFmtId="0" fontId="0" fillId="0" borderId="4" xfId="0" applyBorder="1" applyProtection="1">
      <protection locked="0"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hidden="1"/>
    </xf>
    <xf numFmtId="1" fontId="0" fillId="0" borderId="31" xfId="0" applyNumberForma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locked="0"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49" xfId="0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9" fontId="0" fillId="0" borderId="0" xfId="0" applyNumberFormat="1" applyFont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9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164" fontId="6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9" fontId="0" fillId="0" borderId="52" xfId="0" applyNumberFormat="1" applyBorder="1" applyAlignment="1" applyProtection="1">
      <alignment horizontal="center" vertical="center"/>
      <protection hidden="1"/>
    </xf>
    <xf numFmtId="9" fontId="0" fillId="0" borderId="53" xfId="0" applyNumberFormat="1" applyBorder="1" applyAlignment="1" applyProtection="1">
      <alignment horizontal="center" vertical="center"/>
      <protection hidden="1"/>
    </xf>
    <xf numFmtId="9" fontId="0" fillId="0" borderId="54" xfId="0" applyNumberFormat="1" applyBorder="1" applyAlignment="1" applyProtection="1">
      <alignment horizontal="center" vertical="center"/>
      <protection hidden="1"/>
    </xf>
    <xf numFmtId="9" fontId="0" fillId="0" borderId="55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34" xfId="0" applyFont="1" applyBorder="1" applyAlignment="1" applyProtection="1">
      <alignment horizontal="center" vertical="center"/>
      <protection locked="0" hidden="1"/>
    </xf>
    <xf numFmtId="0" fontId="0" fillId="0" borderId="33" xfId="0" applyFont="1" applyBorder="1" applyAlignment="1" applyProtection="1">
      <alignment horizontal="center" vertical="center"/>
      <protection locked="0" hidden="1"/>
    </xf>
    <xf numFmtId="0" fontId="0" fillId="0" borderId="49" xfId="0" applyBorder="1" applyProtection="1">
      <protection hidden="1"/>
    </xf>
    <xf numFmtId="0" fontId="0" fillId="0" borderId="46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58" xfId="0" applyBorder="1" applyProtection="1">
      <protection hidden="1"/>
    </xf>
    <xf numFmtId="0" fontId="0" fillId="0" borderId="40" xfId="0" applyBorder="1" applyAlignment="1" applyProtection="1">
      <protection hidden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1" xfId="0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8" xfId="0" applyFont="1" applyBorder="1"/>
    <xf numFmtId="0" fontId="3" fillId="0" borderId="6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5" xfId="0" applyFont="1" applyBorder="1"/>
    <xf numFmtId="0" fontId="3" fillId="0" borderId="0" xfId="0" applyFont="1" applyBorder="1" applyAlignment="1">
      <alignment horizontal="left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9" fontId="0" fillId="0" borderId="0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164" fontId="0" fillId="0" borderId="51" xfId="0" applyNumberForma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166" fontId="0" fillId="0" borderId="40" xfId="0" applyNumberFormat="1" applyBorder="1" applyAlignment="1" applyProtection="1">
      <alignment horizontal="center" vertical="center"/>
      <protection hidden="1"/>
    </xf>
    <xf numFmtId="0" fontId="25" fillId="0" borderId="50" xfId="0" applyFont="1" applyFill="1" applyBorder="1" applyAlignment="1" applyProtection="1">
      <alignment vertical="center"/>
      <protection hidden="1"/>
    </xf>
    <xf numFmtId="167" fontId="0" fillId="0" borderId="40" xfId="0" applyNumberFormat="1" applyBorder="1" applyAlignment="1" applyProtection="1">
      <alignment horizontal="center" vertical="center"/>
      <protection hidden="1"/>
    </xf>
    <xf numFmtId="166" fontId="0" fillId="0" borderId="51" xfId="0" applyNumberFormat="1" applyBorder="1" applyAlignment="1" applyProtection="1">
      <alignment horizontal="center" vertical="center"/>
      <protection hidden="1"/>
    </xf>
    <xf numFmtId="167" fontId="0" fillId="0" borderId="51" xfId="0" applyNumberFormat="1" applyBorder="1" applyAlignment="1" applyProtection="1">
      <alignment horizontal="center" vertical="center"/>
      <protection hidden="1"/>
    </xf>
    <xf numFmtId="166" fontId="0" fillId="0" borderId="47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44" fillId="0" borderId="59" xfId="0" applyFont="1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53" fillId="0" borderId="59" xfId="0" applyFont="1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166" fontId="0" fillId="0" borderId="59" xfId="0" applyNumberFormat="1" applyBorder="1" applyAlignment="1" applyProtection="1">
      <alignment horizontal="center" vertical="center"/>
      <protection hidden="1"/>
    </xf>
    <xf numFmtId="0" fontId="54" fillId="0" borderId="59" xfId="0" applyFont="1" applyBorder="1" applyAlignment="1" applyProtection="1">
      <alignment horizontal="left" vertical="center"/>
      <protection hidden="1"/>
    </xf>
    <xf numFmtId="164" fontId="10" fillId="0" borderId="47" xfId="0" applyNumberFormat="1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9" fontId="0" fillId="0" borderId="41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164" fontId="0" fillId="0" borderId="59" xfId="0" applyNumberFormat="1" applyBorder="1" applyAlignment="1" applyProtection="1">
      <alignment horizontal="center" vertical="center"/>
      <protection hidden="1"/>
    </xf>
    <xf numFmtId="164" fontId="10" fillId="0" borderId="40" xfId="0" applyNumberFormat="1" applyFont="1" applyBorder="1" applyAlignment="1" applyProtection="1">
      <alignment horizontal="center" vertical="center"/>
      <protection hidden="1"/>
    </xf>
    <xf numFmtId="166" fontId="10" fillId="0" borderId="40" xfId="0" applyNumberFormat="1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protection hidden="1"/>
    </xf>
    <xf numFmtId="164" fontId="12" fillId="0" borderId="40" xfId="0" applyNumberFormat="1" applyFont="1" applyBorder="1" applyAlignment="1" applyProtection="1">
      <protection hidden="1"/>
    </xf>
    <xf numFmtId="0" fontId="0" fillId="0" borderId="50" xfId="0" applyBorder="1" applyAlignment="1" applyProtection="1">
      <alignment vertical="top"/>
      <protection hidden="1"/>
    </xf>
    <xf numFmtId="166" fontId="10" fillId="0" borderId="40" xfId="0" applyNumberFormat="1" applyFont="1" applyBorder="1" applyAlignment="1" applyProtection="1">
      <alignment horizontal="center" vertical="top"/>
      <protection hidden="1"/>
    </xf>
    <xf numFmtId="166" fontId="10" fillId="0" borderId="59" xfId="0" applyNumberFormat="1" applyFont="1" applyBorder="1" applyAlignment="1" applyProtection="1">
      <alignment horizontal="center" vertical="center"/>
      <protection hidden="1"/>
    </xf>
    <xf numFmtId="166" fontId="10" fillId="0" borderId="51" xfId="0" applyNumberFormat="1" applyFont="1" applyBorder="1" applyAlignment="1" applyProtection="1">
      <alignment horizontal="center" vertical="center"/>
      <protection hidden="1"/>
    </xf>
    <xf numFmtId="166" fontId="10" fillId="0" borderId="47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4" fillId="0" borderId="0" xfId="0" applyFont="1" applyBorder="1" applyAlignment="1" applyProtection="1">
      <alignment horizontal="center" vertical="top"/>
      <protection hidden="1"/>
    </xf>
    <xf numFmtId="0" fontId="60" fillId="0" borderId="0" xfId="0" applyFont="1" applyBorder="1" applyProtection="1">
      <protection hidden="1"/>
    </xf>
    <xf numFmtId="0" fontId="61" fillId="0" borderId="0" xfId="0" applyFont="1" applyBorder="1" applyAlignment="1" applyProtection="1">
      <alignment horizontal="center" vertical="top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63" fillId="0" borderId="49" xfId="0" applyFont="1" applyFill="1" applyBorder="1" applyAlignment="1" applyProtection="1">
      <alignment horizontal="right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63" fillId="0" borderId="51" xfId="0" applyFont="1" applyFill="1" applyBorder="1" applyAlignment="1" applyProtection="1">
      <alignment horizontal="left"/>
      <protection hidden="1"/>
    </xf>
    <xf numFmtId="0" fontId="65" fillId="0" borderId="0" xfId="0" applyFont="1" applyBorder="1" applyAlignment="1" applyProtection="1">
      <alignment horizontal="center" vertical="top"/>
      <protection hidden="1"/>
    </xf>
    <xf numFmtId="0" fontId="63" fillId="0" borderId="5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3" fillId="0" borderId="40" xfId="0" applyFont="1" applyFill="1" applyBorder="1" applyAlignment="1" applyProtection="1">
      <alignment horizontal="lef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 horizontal="left"/>
      <protection hidden="1"/>
    </xf>
    <xf numFmtId="0" fontId="31" fillId="0" borderId="40" xfId="0" applyFont="1" applyBorder="1" applyAlignment="1" applyProtection="1">
      <alignment horizontal="center"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center" vertical="top"/>
      <protection hidden="1"/>
    </xf>
    <xf numFmtId="0" fontId="60" fillId="0" borderId="0" xfId="0" applyFont="1" applyFill="1" applyBorder="1" applyProtection="1">
      <protection hidden="1"/>
    </xf>
    <xf numFmtId="0" fontId="63" fillId="0" borderId="4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51" xfId="0" applyBorder="1" applyProtection="1">
      <protection hidden="1"/>
    </xf>
    <xf numFmtId="0" fontId="63" fillId="0" borderId="46" xfId="0" applyFont="1" applyFill="1" applyBorder="1" applyAlignment="1" applyProtection="1">
      <alignment horizontal="right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63" fillId="0" borderId="47" xfId="0" applyFont="1" applyFill="1" applyBorder="1" applyAlignment="1" applyProtection="1">
      <alignment horizontal="left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0" fillId="0" borderId="47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60" xfId="0" applyBorder="1" applyAlignment="1" applyProtection="1">
      <alignment horizontal="center"/>
      <protection locked="0"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49" xfId="0" applyFont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0" borderId="51" xfId="0" applyFont="1" applyBorder="1" applyAlignment="1" applyProtection="1">
      <alignment horizontal="left" vertical="center"/>
      <protection hidden="1"/>
    </xf>
    <xf numFmtId="0" fontId="0" fillId="0" borderId="51" xfId="0" applyFont="1" applyFill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0" fillId="0" borderId="40" xfId="0" applyFont="1" applyBorder="1" applyProtection="1">
      <protection hidden="1"/>
    </xf>
    <xf numFmtId="0" fontId="0" fillId="0" borderId="34" xfId="0" applyFon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7" xfId="0" applyFont="1" applyBorder="1" applyProtection="1">
      <protection hidden="1"/>
    </xf>
    <xf numFmtId="0" fontId="0" fillId="0" borderId="51" xfId="0" applyFont="1" applyBorder="1" applyProtection="1">
      <protection hidden="1"/>
    </xf>
    <xf numFmtId="0" fontId="0" fillId="0" borderId="47" xfId="0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0" borderId="40" xfId="0" applyFont="1" applyFill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34" xfId="0" applyFont="1" applyFill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46" xfId="0" applyFont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horizontal="left" vertical="center"/>
      <protection hidden="1"/>
    </xf>
    <xf numFmtId="0" fontId="0" fillId="0" borderId="47" xfId="0" applyFont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0" fillId="0" borderId="31" xfId="0" applyFont="1" applyBorder="1" applyProtection="1"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35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58" xfId="0" applyFont="1" applyBorder="1" applyProtection="1">
      <protection hidden="1"/>
    </xf>
    <xf numFmtId="0" fontId="0" fillId="0" borderId="59" xfId="0" applyFont="1" applyBorder="1" applyProtection="1"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31" xfId="0" applyFont="1" applyBorder="1" applyAlignment="1" applyProtection="1">
      <alignment horizontal="left" vertical="center"/>
      <protection hidden="1"/>
    </xf>
    <xf numFmtId="0" fontId="0" fillId="0" borderId="58" xfId="0" applyFont="1" applyFill="1" applyBorder="1" applyAlignment="1" applyProtection="1">
      <alignment horizontal="left"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0" fontId="0" fillId="0" borderId="59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3" fillId="0" borderId="31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59" fillId="0" borderId="0" xfId="0" applyFont="1" applyBorder="1" applyProtection="1">
      <protection hidden="1"/>
    </xf>
    <xf numFmtId="0" fontId="1" fillId="0" borderId="30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29" fillId="0" borderId="31" xfId="0" applyFont="1" applyBorder="1" applyAlignment="1" applyProtection="1">
      <alignment horizontal="left" vertical="center"/>
      <protection hidden="1"/>
    </xf>
    <xf numFmtId="0" fontId="59" fillId="0" borderId="31" xfId="0" applyFont="1" applyBorder="1" applyProtection="1"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Border="1" applyProtection="1"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30" xfId="0" applyFont="1" applyBorder="1" applyAlignment="1" applyProtection="1">
      <alignment horizontal="left" vertical="center"/>
      <protection hidden="1"/>
    </xf>
    <xf numFmtId="0" fontId="59" fillId="0" borderId="30" xfId="0" applyFont="1" applyBorder="1" applyProtection="1">
      <protection hidden="1"/>
    </xf>
    <xf numFmtId="0" fontId="0" fillId="0" borderId="58" xfId="0" applyFont="1" applyBorder="1" applyAlignment="1" applyProtection="1">
      <alignment horizontal="left" vertical="center"/>
      <protection hidden="1"/>
    </xf>
    <xf numFmtId="0" fontId="3" fillId="0" borderId="39" xfId="0" applyFont="1" applyBorder="1" applyProtection="1">
      <protection hidden="1"/>
    </xf>
    <xf numFmtId="0" fontId="3" fillId="0" borderId="59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3" fillId="0" borderId="49" xfId="0" applyFont="1" applyBorder="1" applyAlignment="1" applyProtection="1">
      <alignment horizontal="righ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1" fillId="0" borderId="34" xfId="0" applyFont="1" applyFill="1" applyBorder="1" applyAlignment="1" applyProtection="1">
      <alignment horizontal="left"/>
      <protection hidden="1"/>
    </xf>
    <xf numFmtId="0" fontId="3" fillId="0" borderId="50" xfId="0" applyFont="1" applyBorder="1" applyAlignment="1" applyProtection="1">
      <alignment horizontal="righ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5" xfId="0" applyFont="1" applyFill="1" applyBorder="1" applyAlignment="1" applyProtection="1">
      <alignment horizontal="left"/>
      <protection hidden="1"/>
    </xf>
    <xf numFmtId="0" fontId="3" fillId="0" borderId="46" xfId="0" applyFont="1" applyBorder="1" applyAlignment="1" applyProtection="1">
      <alignment horizontal="righ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3" fillId="0" borderId="47" xfId="0" applyFont="1" applyBorder="1" applyProtection="1">
      <protection hidden="1"/>
    </xf>
    <xf numFmtId="0" fontId="3" fillId="0" borderId="51" xfId="0" applyFont="1" applyBorder="1" applyProtection="1">
      <protection hidden="1"/>
    </xf>
    <xf numFmtId="0" fontId="0" fillId="0" borderId="49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3" fillId="0" borderId="40" xfId="0" applyFont="1" applyBorder="1" applyProtection="1">
      <protection hidden="1"/>
    </xf>
    <xf numFmtId="0" fontId="1" fillId="0" borderId="34" xfId="0" applyFont="1" applyFill="1" applyBorder="1" applyProtection="1">
      <protection hidden="1"/>
    </xf>
    <xf numFmtId="0" fontId="3" fillId="0" borderId="50" xfId="0" applyFont="1" applyBorder="1" applyProtection="1">
      <protection hidden="1"/>
    </xf>
    <xf numFmtId="0" fontId="3" fillId="0" borderId="46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34" xfId="0" applyFont="1" applyBorder="1" applyProtection="1">
      <protection hidden="1"/>
    </xf>
    <xf numFmtId="0" fontId="3" fillId="0" borderId="34" xfId="0" applyFont="1" applyBorder="1" applyAlignment="1" applyProtection="1">
      <alignment horizontal="left"/>
      <protection hidden="1"/>
    </xf>
    <xf numFmtId="0" fontId="3" fillId="0" borderId="35" xfId="0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166" fontId="0" fillId="0" borderId="51" xfId="0" applyNumberFormat="1" applyBorder="1" applyAlignment="1" applyProtection="1">
      <alignment horizontal="center" vertical="center"/>
      <protection hidden="1"/>
    </xf>
    <xf numFmtId="166" fontId="0" fillId="0" borderId="40" xfId="0" applyNumberFormat="1" applyBorder="1" applyAlignment="1" applyProtection="1">
      <alignment horizontal="center" vertical="center"/>
      <protection hidden="1"/>
    </xf>
    <xf numFmtId="166" fontId="0" fillId="0" borderId="47" xfId="0" applyNumberFormat="1" applyBorder="1" applyAlignment="1" applyProtection="1">
      <alignment horizontal="center" vertical="center"/>
      <protection hidden="1"/>
    </xf>
    <xf numFmtId="168" fontId="0" fillId="0" borderId="41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44" xfId="0" applyNumberFormat="1" applyBorder="1" applyAlignment="1" applyProtection="1">
      <alignment horizontal="center" vertical="center"/>
      <protection hidden="1"/>
    </xf>
    <xf numFmtId="165" fontId="0" fillId="0" borderId="45" xfId="0" applyNumberFormat="1" applyBorder="1" applyAlignment="1" applyProtection="1">
      <alignment horizontal="center" vertical="center"/>
      <protection hidden="1"/>
    </xf>
    <xf numFmtId="9" fontId="0" fillId="0" borderId="16" xfId="0" applyNumberFormat="1" applyBorder="1" applyAlignment="1" applyProtection="1">
      <alignment horizontal="center" vertical="center"/>
      <protection hidden="1"/>
    </xf>
    <xf numFmtId="9" fontId="0" fillId="0" borderId="17" xfId="0" applyNumberFormat="1" applyBorder="1" applyAlignment="1" applyProtection="1">
      <alignment horizontal="center" vertical="center"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9" fontId="0" fillId="0" borderId="19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" fontId="0" fillId="0" borderId="16" xfId="0" applyNumberFormat="1" applyBorder="1" applyAlignment="1" applyProtection="1">
      <alignment horizontal="center" vertical="center"/>
      <protection hidden="1"/>
    </xf>
    <xf numFmtId="1" fontId="0" fillId="0" borderId="17" xfId="0" applyNumberForma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/>
      <protection hidden="1"/>
    </xf>
    <xf numFmtId="9" fontId="0" fillId="0" borderId="31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" fontId="0" fillId="0" borderId="8" xfId="0" applyNumberFormat="1" applyFont="1" applyBorder="1" applyAlignment="1" applyProtection="1">
      <alignment horizontal="center" vertical="center"/>
      <protection hidden="1"/>
    </xf>
    <xf numFmtId="1" fontId="0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9" fontId="0" fillId="0" borderId="0" xfId="0" applyNumberFormat="1" applyBorder="1" applyAlignment="1" applyProtection="1">
      <alignment horizontal="center" vertical="center"/>
      <protection hidden="1"/>
    </xf>
    <xf numFmtId="9" fontId="0" fillId="0" borderId="14" xfId="0" applyNumberFormat="1" applyBorder="1" applyAlignment="1" applyProtection="1">
      <alignment horizontal="center" vertical="center"/>
      <protection hidden="1"/>
    </xf>
    <xf numFmtId="9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1" fontId="0" fillId="0" borderId="11" xfId="0" applyNumberFormat="1" applyBorder="1" applyAlignment="1" applyProtection="1">
      <alignment horizontal="center" vertical="center"/>
      <protection locked="0" hidden="1"/>
    </xf>
    <xf numFmtId="1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65" fontId="0" fillId="0" borderId="16" xfId="0" applyNumberFormat="1" applyBorder="1" applyAlignment="1" applyProtection="1">
      <alignment horizontal="center" vertical="center"/>
      <protection hidden="1"/>
    </xf>
    <xf numFmtId="165" fontId="0" fillId="0" borderId="17" xfId="0" applyNumberFormat="1" applyBorder="1" applyAlignment="1" applyProtection="1">
      <alignment horizontal="center" vertical="center"/>
      <protection hidden="1"/>
    </xf>
    <xf numFmtId="9" fontId="0" fillId="0" borderId="46" xfId="0" applyNumberFormat="1" applyBorder="1" applyAlignment="1" applyProtection="1">
      <alignment horizontal="center"/>
      <protection hidden="1"/>
    </xf>
    <xf numFmtId="9" fontId="0" fillId="0" borderId="47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1" fontId="0" fillId="0" borderId="37" xfId="0" applyNumberFormat="1" applyBorder="1" applyAlignment="1" applyProtection="1">
      <alignment horizontal="center" vertical="center"/>
      <protection locked="0" hidden="1"/>
    </xf>
    <xf numFmtId="1" fontId="0" fillId="0" borderId="5" xfId="0" applyNumberFormat="1" applyBorder="1" applyAlignment="1" applyProtection="1">
      <alignment horizontal="center" vertical="center"/>
      <protection locked="0" hidden="1"/>
    </xf>
    <xf numFmtId="1" fontId="0" fillId="0" borderId="38" xfId="0" applyNumberFormat="1" applyBorder="1" applyAlignment="1" applyProtection="1">
      <alignment horizontal="center" vertical="center"/>
      <protection locked="0" hidden="1"/>
    </xf>
    <xf numFmtId="0" fontId="2" fillId="0" borderId="30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48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40" xfId="0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41" fillId="0" borderId="51" xfId="0" applyFont="1" applyBorder="1" applyAlignment="1" applyProtection="1">
      <alignment horizontal="left" vertical="center"/>
      <protection hidden="1"/>
    </xf>
    <xf numFmtId="0" fontId="41" fillId="0" borderId="40" xfId="0" applyFont="1" applyBorder="1" applyAlignment="1" applyProtection="1">
      <alignment horizontal="left" vertical="center"/>
      <protection hidden="1"/>
    </xf>
    <xf numFmtId="0" fontId="41" fillId="0" borderId="47" xfId="0" applyFont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0" fontId="33" fillId="0" borderId="51" xfId="0" applyFont="1" applyBorder="1" applyAlignment="1" applyProtection="1">
      <alignment horizontal="left" vertical="center"/>
      <protection hidden="1"/>
    </xf>
    <xf numFmtId="0" fontId="33" fillId="0" borderId="40" xfId="0" applyFont="1" applyBorder="1" applyAlignment="1" applyProtection="1">
      <alignment horizontal="left" vertical="center"/>
      <protection hidden="1"/>
    </xf>
    <xf numFmtId="0" fontId="33" fillId="0" borderId="47" xfId="0" applyFont="1" applyBorder="1" applyAlignment="1" applyProtection="1">
      <alignment horizontal="left" vertic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5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49" fillId="0" borderId="51" xfId="0" applyFont="1" applyBorder="1" applyAlignment="1" applyProtection="1">
      <alignment horizontal="left" vertical="center"/>
      <protection hidden="1"/>
    </xf>
    <xf numFmtId="0" fontId="49" fillId="0" borderId="40" xfId="0" applyFont="1" applyBorder="1" applyAlignment="1" applyProtection="1">
      <alignment horizontal="left" vertical="center"/>
      <protection hidden="1"/>
    </xf>
    <xf numFmtId="0" fontId="49" fillId="0" borderId="47" xfId="0" applyFont="1" applyBorder="1" applyAlignment="1" applyProtection="1">
      <alignment horizontal="left" vertical="center"/>
      <protection hidden="1"/>
    </xf>
    <xf numFmtId="0" fontId="44" fillId="0" borderId="51" xfId="0" applyFont="1" applyBorder="1" applyAlignment="1" applyProtection="1">
      <alignment horizontal="left" vertical="center"/>
      <protection hidden="1"/>
    </xf>
    <xf numFmtId="0" fontId="44" fillId="0" borderId="40" xfId="0" applyFont="1" applyBorder="1" applyAlignment="1" applyProtection="1">
      <alignment horizontal="left" vertical="center"/>
      <protection hidden="1"/>
    </xf>
    <xf numFmtId="0" fontId="44" fillId="0" borderId="47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34" fillId="0" borderId="51" xfId="0" applyFont="1" applyBorder="1" applyAlignment="1" applyProtection="1">
      <alignment horizontal="left" vertical="center"/>
      <protection hidden="1"/>
    </xf>
    <xf numFmtId="0" fontId="34" fillId="0" borderId="40" xfId="0" applyFont="1" applyBorder="1" applyAlignment="1" applyProtection="1">
      <alignment horizontal="left" vertical="center"/>
      <protection hidden="1"/>
    </xf>
    <xf numFmtId="0" fontId="34" fillId="0" borderId="47" xfId="0" applyFont="1" applyBorder="1" applyAlignment="1" applyProtection="1">
      <alignment horizontal="left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52" fillId="0" borderId="51" xfId="0" applyFont="1" applyFill="1" applyBorder="1" applyAlignment="1" applyProtection="1">
      <alignment horizontal="left" vertical="center"/>
      <protection hidden="1"/>
    </xf>
    <xf numFmtId="0" fontId="52" fillId="0" borderId="47" xfId="0" applyFont="1" applyBorder="1" applyAlignment="1" applyProtection="1">
      <alignment horizontal="left" vertical="center"/>
      <protection hidden="1"/>
    </xf>
    <xf numFmtId="0" fontId="32" fillId="0" borderId="51" xfId="0" applyFont="1" applyBorder="1" applyAlignment="1" applyProtection="1">
      <alignment horizontal="left" vertical="center"/>
      <protection hidden="1"/>
    </xf>
    <xf numFmtId="0" fontId="32" fillId="0" borderId="40" xfId="0" applyFont="1" applyBorder="1" applyAlignment="1" applyProtection="1">
      <alignment horizontal="left" vertical="center"/>
      <protection hidden="1"/>
    </xf>
    <xf numFmtId="0" fontId="32" fillId="0" borderId="47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40" xfId="0" applyFont="1" applyBorder="1" applyAlignment="1" applyProtection="1">
      <alignment horizontal="left" vertical="top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0" xfId="0" applyBorder="1" applyAlignment="1" applyProtection="1">
      <alignment horizontal="left"/>
      <protection hidden="1"/>
    </xf>
    <xf numFmtId="0" fontId="44" fillId="0" borderId="51" xfId="0" applyFont="1" applyFill="1" applyBorder="1" applyAlignment="1" applyProtection="1">
      <alignment horizontal="left" vertical="center"/>
      <protection hidden="1"/>
    </xf>
    <xf numFmtId="0" fontId="44" fillId="0" borderId="40" xfId="0" applyFont="1" applyFill="1" applyBorder="1" applyAlignment="1" applyProtection="1">
      <alignment horizontal="left" vertical="center"/>
      <protection hidden="1"/>
    </xf>
    <xf numFmtId="0" fontId="44" fillId="0" borderId="47" xfId="0" applyFont="1" applyFill="1" applyBorder="1" applyAlignment="1" applyProtection="1">
      <alignment horizontal="left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left" vertical="center"/>
      <protection hidden="1"/>
    </xf>
    <xf numFmtId="0" fontId="45" fillId="0" borderId="51" xfId="0" applyFont="1" applyBorder="1" applyAlignment="1" applyProtection="1">
      <alignment horizontal="left" vertical="center"/>
      <protection hidden="1"/>
    </xf>
    <xf numFmtId="0" fontId="45" fillId="0" borderId="40" xfId="0" applyFont="1" applyBorder="1" applyAlignment="1" applyProtection="1">
      <alignment horizontal="left" vertical="center"/>
      <protection hidden="1"/>
    </xf>
    <xf numFmtId="0" fontId="45" fillId="0" borderId="47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48" fillId="0" borderId="51" xfId="0" applyFont="1" applyBorder="1" applyAlignment="1" applyProtection="1">
      <alignment horizontal="left" vertical="center"/>
      <protection hidden="1"/>
    </xf>
    <xf numFmtId="0" fontId="48" fillId="0" borderId="40" xfId="0" applyFont="1" applyBorder="1" applyAlignment="1" applyProtection="1">
      <alignment horizontal="left" vertical="center"/>
      <protection hidden="1"/>
    </xf>
    <xf numFmtId="0" fontId="48" fillId="0" borderId="47" xfId="0" applyFont="1" applyBorder="1" applyAlignment="1" applyProtection="1">
      <alignment horizontal="left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164" fontId="0" fillId="0" borderId="51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28" fillId="0" borderId="51" xfId="0" applyFont="1" applyBorder="1" applyAlignment="1" applyProtection="1">
      <alignment horizontal="left" vertical="center"/>
      <protection hidden="1"/>
    </xf>
    <xf numFmtId="0" fontId="28" fillId="0" borderId="40" xfId="0" applyFont="1" applyBorder="1" applyAlignment="1" applyProtection="1">
      <alignment horizontal="left" vertical="center"/>
      <protection hidden="1"/>
    </xf>
    <xf numFmtId="0" fontId="28" fillId="0" borderId="47" xfId="0" applyFont="1" applyBorder="1" applyAlignment="1" applyProtection="1">
      <alignment horizontal="left" vertical="center"/>
      <protection hidden="1"/>
    </xf>
    <xf numFmtId="0" fontId="16" fillId="0" borderId="46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0" fontId="19" fillId="0" borderId="49" xfId="0" applyFont="1" applyFill="1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0" fontId="40" fillId="0" borderId="51" xfId="0" applyFont="1" applyFill="1" applyBorder="1" applyAlignment="1" applyProtection="1">
      <alignment horizontal="left" vertical="center"/>
      <protection hidden="1"/>
    </xf>
    <xf numFmtId="0" fontId="40" fillId="0" borderId="47" xfId="0" applyFont="1" applyFill="1" applyBorder="1" applyAlignment="1" applyProtection="1">
      <alignment horizontal="left" vertical="center"/>
      <protection hidden="1"/>
    </xf>
    <xf numFmtId="0" fontId="22" fillId="0" borderId="49" xfId="0" applyFont="1" applyFill="1" applyBorder="1" applyAlignment="1" applyProtection="1">
      <alignment horizontal="left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47" fillId="0" borderId="51" xfId="0" applyFont="1" applyFill="1" applyBorder="1" applyAlignment="1" applyProtection="1">
      <alignment horizontal="left" vertical="center"/>
      <protection hidden="1"/>
    </xf>
    <xf numFmtId="0" fontId="47" fillId="0" borderId="47" xfId="0" applyFont="1" applyFill="1" applyBorder="1" applyAlignment="1" applyProtection="1">
      <alignment horizontal="left" vertical="center"/>
      <protection hidden="1"/>
    </xf>
    <xf numFmtId="0" fontId="21" fillId="0" borderId="49" xfId="0" applyFont="1" applyFill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left" vertical="center"/>
      <protection hidden="1"/>
    </xf>
    <xf numFmtId="0" fontId="35" fillId="0" borderId="51" xfId="0" applyFont="1" applyFill="1" applyBorder="1" applyAlignment="1" applyProtection="1">
      <alignment horizontal="left" vertical="center"/>
      <protection hidden="1"/>
    </xf>
    <xf numFmtId="0" fontId="35" fillId="0" borderId="40" xfId="0" applyFont="1" applyFill="1" applyBorder="1" applyAlignment="1" applyProtection="1">
      <alignment horizontal="left" vertical="center"/>
      <protection hidden="1"/>
    </xf>
    <xf numFmtId="0" fontId="35" fillId="0" borderId="47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left" vertical="center"/>
      <protection hidden="1"/>
    </xf>
    <xf numFmtId="0" fontId="36" fillId="0" borderId="51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40" xfId="0" applyFont="1" applyBorder="1" applyAlignment="1" applyProtection="1">
      <alignment horizontal="left" vertical="center"/>
      <protection hidden="1"/>
    </xf>
    <xf numFmtId="0" fontId="36" fillId="0" borderId="47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42" fillId="0" borderId="51" xfId="0" applyFont="1" applyFill="1" applyBorder="1" applyAlignment="1" applyProtection="1">
      <alignment horizontal="left" vertical="center"/>
      <protection hidden="1"/>
    </xf>
    <xf numFmtId="0" fontId="42" fillId="0" borderId="40" xfId="0" applyFont="1" applyFill="1" applyBorder="1" applyAlignment="1" applyProtection="1">
      <alignment horizontal="left" vertical="center"/>
      <protection hidden="1"/>
    </xf>
    <xf numFmtId="0" fontId="42" fillId="0" borderId="47" xfId="0" applyFont="1" applyFill="1" applyBorder="1" applyAlignment="1" applyProtection="1">
      <alignment horizontal="left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40" fillId="0" borderId="40" xfId="0" applyFont="1" applyFill="1" applyBorder="1" applyAlignment="1" applyProtection="1">
      <alignment horizontal="left" vertical="center"/>
      <protection hidden="1"/>
    </xf>
    <xf numFmtId="0" fontId="23" fillId="0" borderId="49" xfId="0" applyFont="1" applyFill="1" applyBorder="1" applyAlignment="1" applyProtection="1">
      <alignment horizontal="left" vertical="center"/>
      <protection hidden="1"/>
    </xf>
    <xf numFmtId="0" fontId="39" fillId="0" borderId="51" xfId="0" applyFont="1" applyFill="1" applyBorder="1" applyAlignment="1" applyProtection="1">
      <alignment horizontal="left" vertical="center"/>
      <protection hidden="1"/>
    </xf>
    <xf numFmtId="0" fontId="39" fillId="0" borderId="40" xfId="0" applyFont="1" applyFill="1" applyBorder="1" applyAlignment="1" applyProtection="1">
      <alignment horizontal="left" vertical="center"/>
      <protection hidden="1"/>
    </xf>
    <xf numFmtId="0" fontId="39" fillId="0" borderId="47" xfId="0" applyFont="1" applyFill="1" applyBorder="1" applyAlignment="1" applyProtection="1">
      <alignment horizontal="left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Border="1" applyAlignment="1" applyProtection="1">
      <alignment horizontal="center" vertical="center"/>
      <protection hidden="1"/>
    </xf>
    <xf numFmtId="0" fontId="46" fillId="0" borderId="51" xfId="0" applyFont="1" applyFill="1" applyBorder="1" applyAlignment="1" applyProtection="1">
      <alignment horizontal="left" vertical="center"/>
      <protection hidden="1"/>
    </xf>
    <xf numFmtId="0" fontId="46" fillId="0" borderId="40" xfId="0" applyFont="1" applyFill="1" applyBorder="1" applyAlignment="1" applyProtection="1">
      <alignment horizontal="left" vertical="center"/>
      <protection hidden="1"/>
    </xf>
    <xf numFmtId="0" fontId="46" fillId="0" borderId="47" xfId="0" applyFont="1" applyFill="1" applyBorder="1" applyAlignment="1" applyProtection="1">
      <alignment horizontal="left" vertical="center"/>
      <protection hidden="1"/>
    </xf>
    <xf numFmtId="0" fontId="26" fillId="0" borderId="49" xfId="0" applyFont="1" applyFill="1" applyBorder="1" applyAlignment="1" applyProtection="1">
      <alignment horizontal="center" vertical="center"/>
      <protection hidden="1"/>
    </xf>
    <xf numFmtId="0" fontId="26" fillId="0" borderId="50" xfId="0" applyFont="1" applyFill="1" applyBorder="1" applyAlignment="1" applyProtection="1">
      <alignment horizontal="center" vertical="center"/>
      <protection hidden="1"/>
    </xf>
    <xf numFmtId="0" fontId="26" fillId="0" borderId="46" xfId="0" applyFont="1" applyFill="1" applyBorder="1" applyAlignment="1" applyProtection="1">
      <alignment horizontal="center" vertical="center"/>
      <protection hidden="1"/>
    </xf>
    <xf numFmtId="0" fontId="43" fillId="0" borderId="51" xfId="0" applyFont="1" applyFill="1" applyBorder="1" applyAlignment="1" applyProtection="1">
      <alignment horizontal="left" vertical="center"/>
      <protection hidden="1"/>
    </xf>
    <xf numFmtId="0" fontId="43" fillId="0" borderId="40" xfId="0" applyFont="1" applyFill="1" applyBorder="1" applyAlignment="1" applyProtection="1">
      <alignment horizontal="left" vertical="center"/>
      <protection hidden="1"/>
    </xf>
    <xf numFmtId="0" fontId="43" fillId="0" borderId="47" xfId="0" applyFont="1" applyFill="1" applyBorder="1" applyAlignment="1" applyProtection="1">
      <alignment horizontal="left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50" fillId="0" borderId="51" xfId="0" applyFont="1" applyFill="1" applyBorder="1" applyAlignment="1" applyProtection="1">
      <alignment horizontal="left" vertical="center"/>
      <protection hidden="1"/>
    </xf>
    <xf numFmtId="0" fontId="50" fillId="0" borderId="47" xfId="0" applyFont="1" applyFill="1" applyBorder="1" applyAlignment="1" applyProtection="1">
      <alignment horizontal="left" vertical="center"/>
      <protection hidden="1"/>
    </xf>
    <xf numFmtId="0" fontId="37" fillId="0" borderId="51" xfId="0" applyFont="1" applyBorder="1" applyAlignment="1" applyProtection="1">
      <alignment horizontal="left" vertical="center"/>
      <protection hidden="1"/>
    </xf>
    <xf numFmtId="0" fontId="37" fillId="0" borderId="40" xfId="0" applyFont="1" applyBorder="1" applyAlignment="1" applyProtection="1">
      <alignment horizontal="left" vertical="center"/>
      <protection hidden="1"/>
    </xf>
    <xf numFmtId="0" fontId="37" fillId="0" borderId="47" xfId="0" applyFont="1" applyBorder="1" applyAlignment="1" applyProtection="1">
      <alignment horizontal="left" vertical="center"/>
      <protection hidden="1"/>
    </xf>
    <xf numFmtId="0" fontId="50" fillId="0" borderId="51" xfId="0" applyFont="1" applyBorder="1" applyAlignment="1" applyProtection="1">
      <alignment horizontal="left" vertical="center"/>
      <protection hidden="1"/>
    </xf>
    <xf numFmtId="0" fontId="50" fillId="0" borderId="40" xfId="0" applyFont="1" applyBorder="1" applyAlignment="1" applyProtection="1">
      <alignment horizontal="left" vertical="center"/>
      <protection hidden="1"/>
    </xf>
    <xf numFmtId="0" fontId="50" fillId="0" borderId="47" xfId="0" applyFont="1" applyBorder="1" applyAlignment="1" applyProtection="1">
      <alignment horizontal="left" vertical="center"/>
      <protection hidden="1"/>
    </xf>
    <xf numFmtId="0" fontId="56" fillId="0" borderId="51" xfId="0" applyFont="1" applyBorder="1" applyAlignment="1" applyProtection="1">
      <alignment horizontal="left" vertical="center"/>
      <protection hidden="1"/>
    </xf>
    <xf numFmtId="0" fontId="56" fillId="0" borderId="40" xfId="0" applyFont="1" applyBorder="1" applyAlignment="1" applyProtection="1">
      <alignment horizontal="left" vertical="center"/>
      <protection hidden="1"/>
    </xf>
    <xf numFmtId="0" fontId="56" fillId="0" borderId="47" xfId="0" applyFont="1" applyBorder="1" applyAlignment="1" applyProtection="1">
      <alignment horizontal="left" vertical="center"/>
      <protection hidden="1"/>
    </xf>
    <xf numFmtId="0" fontId="55" fillId="0" borderId="51" xfId="0" applyFont="1" applyBorder="1" applyAlignment="1" applyProtection="1">
      <alignment horizontal="left" vertical="center"/>
      <protection hidden="1"/>
    </xf>
    <xf numFmtId="0" fontId="55" fillId="0" borderId="40" xfId="0" applyFont="1" applyBorder="1" applyAlignment="1" applyProtection="1">
      <alignment horizontal="left" vertical="center"/>
      <protection hidden="1"/>
    </xf>
    <xf numFmtId="0" fontId="55" fillId="0" borderId="47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51" fillId="0" borderId="51" xfId="0" applyFont="1" applyBorder="1" applyAlignment="1" applyProtection="1">
      <alignment horizontal="left" vertical="center"/>
      <protection hidden="1"/>
    </xf>
    <xf numFmtId="0" fontId="51" fillId="0" borderId="40" xfId="0" applyFont="1" applyBorder="1" applyAlignment="1" applyProtection="1">
      <alignment horizontal="left" vertical="center"/>
      <protection hidden="1"/>
    </xf>
    <xf numFmtId="0" fontId="51" fillId="0" borderId="47" xfId="0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0" fontId="18" fillId="0" borderId="51" xfId="0" applyFont="1" applyFill="1" applyBorder="1" applyAlignment="1" applyProtection="1">
      <alignment horizontal="center" vertical="center"/>
      <protection hidden="1"/>
    </xf>
    <xf numFmtId="0" fontId="20" fillId="0" borderId="46" xfId="0" applyFont="1" applyFill="1" applyBorder="1" applyAlignment="1" applyProtection="1">
      <alignment horizontal="center" vertical="center"/>
      <protection hidden="1"/>
    </xf>
    <xf numFmtId="0" fontId="20" fillId="0" borderId="30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5" fillId="0" borderId="49" xfId="0" applyFont="1" applyFill="1" applyBorder="1" applyAlignment="1" applyProtection="1">
      <alignment horizontal="center" vertical="center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5" fillId="0" borderId="51" xfId="0" applyFont="1" applyFill="1" applyBorder="1" applyAlignment="1" applyProtection="1">
      <alignment horizontal="center" vertical="center"/>
      <protection hidden="1"/>
    </xf>
    <xf numFmtId="0" fontId="25" fillId="0" borderId="5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0" borderId="46" xfId="0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0" fontId="25" fillId="0" borderId="47" xfId="0" applyFont="1" applyFill="1" applyBorder="1" applyAlignment="1" applyProtection="1">
      <alignment horizontal="center" vertical="center"/>
      <protection hidden="1"/>
    </xf>
    <xf numFmtId="0" fontId="18" fillId="0" borderId="46" xfId="0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 applyProtection="1">
      <alignment horizontal="center"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38" fillId="0" borderId="51" xfId="0" applyFont="1" applyFill="1" applyBorder="1" applyAlignment="1" applyProtection="1">
      <alignment horizontal="left" vertical="center"/>
      <protection hidden="1"/>
    </xf>
    <xf numFmtId="0" fontId="38" fillId="0" borderId="40" xfId="0" applyFont="1" applyFill="1" applyBorder="1" applyAlignment="1" applyProtection="1">
      <alignment horizontal="left" vertical="center"/>
      <protection hidden="1"/>
    </xf>
    <xf numFmtId="0" fontId="38" fillId="0" borderId="47" xfId="0" applyFont="1" applyFill="1" applyBorder="1" applyAlignment="1" applyProtection="1">
      <alignment horizontal="left" vertical="center"/>
      <protection hidden="1"/>
    </xf>
    <xf numFmtId="0" fontId="0" fillId="0" borderId="4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0" xfId="0" applyFont="1" applyBorder="1" applyAlignment="1" applyProtection="1">
      <alignment horizontal="left" vertical="center"/>
      <protection hidden="1"/>
    </xf>
    <xf numFmtId="0" fontId="0" fillId="0" borderId="30" xfId="0" applyBorder="1" applyAlignment="1">
      <alignment horizontal="left" vertical="center"/>
    </xf>
    <xf numFmtId="0" fontId="0" fillId="0" borderId="46" xfId="0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center" vertical="top"/>
      <protection hidden="1"/>
    </xf>
    <xf numFmtId="166" fontId="0" fillId="0" borderId="58" xfId="0" applyNumberFormat="1" applyBorder="1" applyAlignment="1" applyProtection="1">
      <alignment horizontal="center" vertical="center"/>
      <protection hidden="1"/>
    </xf>
    <xf numFmtId="166" fontId="0" fillId="0" borderId="39" xfId="0" applyNumberFormat="1" applyBorder="1" applyAlignment="1" applyProtection="1">
      <alignment horizontal="center" vertical="center"/>
      <protection hidden="1"/>
    </xf>
    <xf numFmtId="166" fontId="0" fillId="0" borderId="59" xfId="0" applyNumberFormat="1" applyBorder="1" applyAlignment="1" applyProtection="1">
      <alignment horizontal="center" vertical="center"/>
      <protection hidden="1"/>
    </xf>
    <xf numFmtId="9" fontId="0" fillId="0" borderId="33" xfId="0" applyNumberFormat="1" applyBorder="1" applyAlignment="1" applyProtection="1">
      <alignment horizontal="center" vertical="center" wrapText="1"/>
      <protection hidden="1"/>
    </xf>
    <xf numFmtId="9" fontId="0" fillId="0" borderId="35" xfId="0" applyNumberFormat="1" applyBorder="1" applyAlignment="1" applyProtection="1">
      <alignment horizontal="center" vertical="center"/>
      <protection hidden="1"/>
    </xf>
    <xf numFmtId="166" fontId="0" fillId="0" borderId="49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51" xfId="0" applyNumberFormat="1" applyBorder="1" applyAlignment="1" applyProtection="1">
      <alignment horizontal="center" vertical="center"/>
      <protection hidden="1"/>
    </xf>
    <xf numFmtId="166" fontId="0" fillId="0" borderId="50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166" fontId="0" fillId="0" borderId="40" xfId="0" applyNumberFormat="1" applyBorder="1" applyAlignment="1" applyProtection="1">
      <alignment horizontal="center" vertical="center"/>
      <protection hidden="1"/>
    </xf>
    <xf numFmtId="166" fontId="0" fillId="0" borderId="46" xfId="0" applyNumberFormat="1" applyBorder="1" applyAlignment="1" applyProtection="1">
      <alignment horizontal="center" vertical="center"/>
      <protection hidden="1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47" xfId="0" applyNumberFormat="1" applyBorder="1" applyAlignment="1" applyProtection="1">
      <alignment horizontal="center" vertical="center"/>
      <protection hidden="1"/>
    </xf>
    <xf numFmtId="9" fontId="0" fillId="0" borderId="33" xfId="0" applyNumberFormat="1" applyBorder="1" applyAlignment="1" applyProtection="1">
      <alignment horizontal="center" vertical="center"/>
      <protection hidden="1"/>
    </xf>
    <xf numFmtId="9" fontId="0" fillId="0" borderId="34" xfId="0" applyNumberFormat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9" fontId="0" fillId="0" borderId="51" xfId="0" applyNumberFormat="1" applyBorder="1" applyAlignment="1" applyProtection="1">
      <alignment horizontal="center" vertical="center"/>
      <protection hidden="1"/>
    </xf>
    <xf numFmtId="9" fontId="0" fillId="0" borderId="40" xfId="0" applyNumberFormat="1" applyBorder="1" applyAlignment="1" applyProtection="1">
      <alignment horizontal="center" vertical="center"/>
      <protection hidden="1"/>
    </xf>
    <xf numFmtId="9" fontId="0" fillId="0" borderId="47" xfId="0" applyNumberFormat="1" applyBorder="1" applyAlignment="1" applyProtection="1">
      <alignment horizontal="center" vertical="center"/>
      <protection hidden="1"/>
    </xf>
    <xf numFmtId="0" fontId="42" fillId="0" borderId="31" xfId="0" applyFont="1" applyFill="1" applyBorder="1" applyAlignment="1" applyProtection="1">
      <alignment vertical="center"/>
      <protection hidden="1"/>
    </xf>
    <xf numFmtId="0" fontId="42" fillId="0" borderId="30" xfId="0" applyFont="1" applyFill="1" applyBorder="1" applyAlignment="1" applyProtection="1">
      <alignment vertical="center"/>
      <protection hidden="1"/>
    </xf>
    <xf numFmtId="0" fontId="45" fillId="0" borderId="31" xfId="0" applyFont="1" applyBorder="1" applyAlignment="1" applyProtection="1">
      <alignment vertical="center"/>
      <protection hidden="1"/>
    </xf>
    <xf numFmtId="0" fontId="45" fillId="0" borderId="30" xfId="0" applyFont="1" applyBorder="1" applyAlignment="1" applyProtection="1">
      <alignment vertical="center"/>
      <protection hidden="1"/>
    </xf>
    <xf numFmtId="9" fontId="0" fillId="0" borderId="34" xfId="0" applyNumberFormat="1" applyBorder="1" applyAlignment="1" applyProtection="1">
      <alignment horizontal="center" vertical="center" wrapText="1"/>
      <protection hidden="1"/>
    </xf>
    <xf numFmtId="0" fontId="36" fillId="0" borderId="3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30" xfId="0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5" fillId="0" borderId="51" xfId="0" applyFont="1" applyFill="1" applyBorder="1" applyAlignment="1" applyProtection="1">
      <alignment vertical="center"/>
      <protection hidden="1"/>
    </xf>
    <xf numFmtId="0" fontId="35" fillId="0" borderId="47" xfId="0" applyFont="1" applyFill="1" applyBorder="1" applyAlignment="1" applyProtection="1">
      <alignment vertical="center"/>
      <protection hidden="1"/>
    </xf>
    <xf numFmtId="0" fontId="45" fillId="0" borderId="51" xfId="0" applyFont="1" applyBorder="1" applyAlignment="1" applyProtection="1">
      <alignment vertical="center"/>
      <protection hidden="1"/>
    </xf>
    <xf numFmtId="0" fontId="45" fillId="0" borderId="47" xfId="0" applyFont="1" applyBorder="1" applyAlignment="1" applyProtection="1">
      <alignment vertical="center"/>
      <protection hidden="1"/>
    </xf>
    <xf numFmtId="0" fontId="42" fillId="0" borderId="51" xfId="0" applyFont="1" applyFill="1" applyBorder="1" applyAlignment="1" applyProtection="1">
      <alignment vertical="center"/>
      <protection hidden="1"/>
    </xf>
    <xf numFmtId="0" fontId="42" fillId="0" borderId="47" xfId="0" applyFont="1" applyFill="1" applyBorder="1" applyAlignment="1" applyProtection="1">
      <alignment vertical="center"/>
      <protection hidden="1"/>
    </xf>
    <xf numFmtId="0" fontId="36" fillId="0" borderId="51" xfId="0" applyFont="1" applyFill="1" applyBorder="1" applyAlignment="1" applyProtection="1">
      <alignment vertical="center"/>
      <protection hidden="1"/>
    </xf>
    <xf numFmtId="0" fontId="36" fillId="0" borderId="40" xfId="0" applyFont="1" applyFill="1" applyBorder="1" applyAlignment="1" applyProtection="1">
      <alignment vertical="center"/>
      <protection hidden="1"/>
    </xf>
    <xf numFmtId="0" fontId="36" fillId="0" borderId="47" xfId="0" applyFont="1" applyFill="1" applyBorder="1" applyAlignment="1" applyProtection="1">
      <alignment vertical="center"/>
      <protection hidden="1"/>
    </xf>
    <xf numFmtId="0" fontId="35" fillId="0" borderId="31" xfId="0" applyFont="1" applyFill="1" applyBorder="1" applyAlignment="1" applyProtection="1">
      <alignment vertical="center"/>
      <protection hidden="1"/>
    </xf>
    <xf numFmtId="0" fontId="35" fillId="0" borderId="30" xfId="0" applyFont="1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9" fontId="0" fillId="0" borderId="49" xfId="0" applyNumberFormat="1" applyBorder="1" applyAlignment="1" applyProtection="1">
      <alignment horizontal="center" vertical="center"/>
      <protection hidden="1"/>
    </xf>
    <xf numFmtId="9" fontId="0" fillId="0" borderId="50" xfId="0" applyNumberFormat="1" applyBorder="1" applyAlignment="1" applyProtection="1">
      <alignment horizontal="center" vertical="center"/>
      <protection hidden="1"/>
    </xf>
    <xf numFmtId="9" fontId="0" fillId="0" borderId="46" xfId="0" applyNumberForma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2" fillId="0" borderId="0" xfId="0" applyFont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/>
      <protection locked="0" hidden="1"/>
    </xf>
    <xf numFmtId="0" fontId="0" fillId="0" borderId="12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548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9" formatCode=";;;"/>
    </dxf>
    <dxf>
      <font>
        <color auto="1"/>
      </font>
      <numFmt numFmtId="169" formatCode=";;;"/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79998168889431442"/>
        </patternFill>
      </fill>
    </dxf>
    <dxf>
      <fill>
        <patternFill>
          <bgColor rgb="FFECF0F6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CF0F6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ECF0F6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5C800"/>
      <color rgb="FF3AABF5"/>
      <color rgb="FF3A75F5"/>
      <color rgb="FFCF5B0D"/>
      <color rgb="FF776CCF"/>
      <color rgb="FF43BB9C"/>
      <color rgb="FF36967D"/>
      <color rgb="FF8CC1DC"/>
      <color rgb="FFBFA155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8.png"/><Relationship Id="rId18" Type="http://schemas.openxmlformats.org/officeDocument/2006/relationships/image" Target="../media/image184.png"/><Relationship Id="rId26" Type="http://schemas.openxmlformats.org/officeDocument/2006/relationships/image" Target="../media/image27.png"/><Relationship Id="rId39" Type="http://schemas.openxmlformats.org/officeDocument/2006/relationships/image" Target="../media/image117.png"/><Relationship Id="rId21" Type="http://schemas.openxmlformats.org/officeDocument/2006/relationships/image" Target="../media/image144.png"/><Relationship Id="rId34" Type="http://schemas.openxmlformats.org/officeDocument/2006/relationships/image" Target="../media/image85.png"/><Relationship Id="rId7" Type="http://schemas.microsoft.com/office/2007/relationships/hdphoto" Target="../media/hdphoto36.wdp"/><Relationship Id="rId12" Type="http://schemas.microsoft.com/office/2007/relationships/hdphoto" Target="../media/hdphoto24.wdp"/><Relationship Id="rId17" Type="http://schemas.microsoft.com/office/2007/relationships/hdphoto" Target="../media/hdphoto17.wdp"/><Relationship Id="rId25" Type="http://schemas.openxmlformats.org/officeDocument/2006/relationships/image" Target="../media/image113.png"/><Relationship Id="rId33" Type="http://schemas.openxmlformats.org/officeDocument/2006/relationships/image" Target="../media/image83.png"/><Relationship Id="rId38" Type="http://schemas.openxmlformats.org/officeDocument/2006/relationships/image" Target="../media/image105.png"/><Relationship Id="rId2" Type="http://schemas.openxmlformats.org/officeDocument/2006/relationships/image" Target="../media/image154.png"/><Relationship Id="rId16" Type="http://schemas.openxmlformats.org/officeDocument/2006/relationships/image" Target="../media/image152.png"/><Relationship Id="rId20" Type="http://schemas.openxmlformats.org/officeDocument/2006/relationships/image" Target="../media/image109.png"/><Relationship Id="rId29" Type="http://schemas.openxmlformats.org/officeDocument/2006/relationships/image" Target="../media/image66.png"/><Relationship Id="rId1" Type="http://schemas.openxmlformats.org/officeDocument/2006/relationships/image" Target="../media/image1.png"/><Relationship Id="rId6" Type="http://schemas.openxmlformats.org/officeDocument/2006/relationships/image" Target="../media/image183.png"/><Relationship Id="rId11" Type="http://schemas.openxmlformats.org/officeDocument/2006/relationships/image" Target="../media/image159.png"/><Relationship Id="rId24" Type="http://schemas.openxmlformats.org/officeDocument/2006/relationships/image" Target="../media/image9.png"/><Relationship Id="rId32" Type="http://schemas.openxmlformats.org/officeDocument/2006/relationships/image" Target="../media/image79.png"/><Relationship Id="rId37" Type="http://schemas.openxmlformats.org/officeDocument/2006/relationships/image" Target="../media/image6.png"/><Relationship Id="rId5" Type="http://schemas.microsoft.com/office/2007/relationships/hdphoto" Target="../media/hdphoto25.wdp"/><Relationship Id="rId15" Type="http://schemas.openxmlformats.org/officeDocument/2006/relationships/image" Target="../media/image24.png"/><Relationship Id="rId23" Type="http://schemas.openxmlformats.org/officeDocument/2006/relationships/image" Target="../media/image42.png"/><Relationship Id="rId28" Type="http://schemas.openxmlformats.org/officeDocument/2006/relationships/image" Target="../media/image55.png"/><Relationship Id="rId36" Type="http://schemas.openxmlformats.org/officeDocument/2006/relationships/image" Target="../media/image2.png"/><Relationship Id="rId10" Type="http://schemas.microsoft.com/office/2007/relationships/hdphoto" Target="../media/hdphoto14.wdp"/><Relationship Id="rId19" Type="http://schemas.microsoft.com/office/2007/relationships/hdphoto" Target="../media/hdphoto37.wdp"/><Relationship Id="rId31" Type="http://schemas.openxmlformats.org/officeDocument/2006/relationships/image" Target="../media/image99.png"/><Relationship Id="rId4" Type="http://schemas.openxmlformats.org/officeDocument/2006/relationships/image" Target="../media/image160.png"/><Relationship Id="rId9" Type="http://schemas.openxmlformats.org/officeDocument/2006/relationships/image" Target="../media/image149.png"/><Relationship Id="rId14" Type="http://schemas.microsoft.com/office/2007/relationships/hdphoto" Target="../media/hdphoto23.wdp"/><Relationship Id="rId22" Type="http://schemas.microsoft.com/office/2007/relationships/hdphoto" Target="../media/hdphoto9.wdp"/><Relationship Id="rId27" Type="http://schemas.openxmlformats.org/officeDocument/2006/relationships/image" Target="../media/image51.png"/><Relationship Id="rId30" Type="http://schemas.openxmlformats.org/officeDocument/2006/relationships/image" Target="../media/image98.png"/><Relationship Id="rId35" Type="http://schemas.openxmlformats.org/officeDocument/2006/relationships/image" Target="../media/image86.png"/><Relationship Id="rId8" Type="http://schemas.openxmlformats.org/officeDocument/2006/relationships/image" Target="../media/image52.png"/><Relationship Id="rId3" Type="http://schemas.microsoft.com/office/2007/relationships/hdphoto" Target="../media/hdphoto19.wdp"/></Relationships>
</file>

<file path=xl/drawings/_rels/drawing11.xml.rels><?xml version="1.0" encoding="UTF-8" standalone="yes"?>
<Relationships xmlns="http://schemas.openxmlformats.org/package/2006/relationships"><Relationship Id="rId8" Type="http://schemas.microsoft.com/office/2007/relationships/hdphoto" Target="../media/hdphoto36.wdp"/><Relationship Id="rId13" Type="http://schemas.openxmlformats.org/officeDocument/2006/relationships/image" Target="../media/image185.png"/><Relationship Id="rId18" Type="http://schemas.openxmlformats.org/officeDocument/2006/relationships/image" Target="../media/image187.png"/><Relationship Id="rId3" Type="http://schemas.openxmlformats.org/officeDocument/2006/relationships/image" Target="../media/image158.png"/><Relationship Id="rId21" Type="http://schemas.openxmlformats.org/officeDocument/2006/relationships/image" Target="../media/image190.png"/><Relationship Id="rId7" Type="http://schemas.openxmlformats.org/officeDocument/2006/relationships/image" Target="../media/image183.png"/><Relationship Id="rId12" Type="http://schemas.microsoft.com/office/2007/relationships/hdphoto" Target="../media/hdphoto37.wdp"/><Relationship Id="rId17" Type="http://schemas.openxmlformats.org/officeDocument/2006/relationships/image" Target="../media/image186.png"/><Relationship Id="rId2" Type="http://schemas.openxmlformats.org/officeDocument/2006/relationships/image" Target="../media/image68.png"/><Relationship Id="rId16" Type="http://schemas.openxmlformats.org/officeDocument/2006/relationships/image" Target="../media/image84.png"/><Relationship Id="rId20" Type="http://schemas.openxmlformats.org/officeDocument/2006/relationships/image" Target="../media/image189.png"/><Relationship Id="rId1" Type="http://schemas.openxmlformats.org/officeDocument/2006/relationships/image" Target="../media/image60.png"/><Relationship Id="rId6" Type="http://schemas.microsoft.com/office/2007/relationships/hdphoto" Target="../media/hdphoto24.wdp"/><Relationship Id="rId11" Type="http://schemas.openxmlformats.org/officeDocument/2006/relationships/image" Target="../media/image184.png"/><Relationship Id="rId5" Type="http://schemas.openxmlformats.org/officeDocument/2006/relationships/image" Target="../media/image159.png"/><Relationship Id="rId15" Type="http://schemas.openxmlformats.org/officeDocument/2006/relationships/image" Target="../media/image76.png"/><Relationship Id="rId23" Type="http://schemas.openxmlformats.org/officeDocument/2006/relationships/image" Target="../media/image192.png"/><Relationship Id="rId10" Type="http://schemas.microsoft.com/office/2007/relationships/hdphoto" Target="../media/hdphoto25.wdp"/><Relationship Id="rId19" Type="http://schemas.openxmlformats.org/officeDocument/2006/relationships/image" Target="../media/image188.png"/><Relationship Id="rId4" Type="http://schemas.microsoft.com/office/2007/relationships/hdphoto" Target="../media/hdphoto23.wdp"/><Relationship Id="rId9" Type="http://schemas.openxmlformats.org/officeDocument/2006/relationships/image" Target="../media/image160.png"/><Relationship Id="rId14" Type="http://schemas.microsoft.com/office/2007/relationships/hdphoto" Target="../media/hdphoto38.wdp"/><Relationship Id="rId22" Type="http://schemas.openxmlformats.org/officeDocument/2006/relationships/image" Target="../media/image19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5.emf"/><Relationship Id="rId2" Type="http://schemas.openxmlformats.org/officeDocument/2006/relationships/image" Target="../media/image194.emf"/><Relationship Id="rId1" Type="http://schemas.openxmlformats.org/officeDocument/2006/relationships/image" Target="../media/image193.emf"/><Relationship Id="rId4" Type="http://schemas.openxmlformats.org/officeDocument/2006/relationships/image" Target="../media/image196.emf"/></Relationships>
</file>

<file path=xl/drawings/_rels/drawing13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78.png"/><Relationship Id="rId21" Type="http://schemas.microsoft.com/office/2007/relationships/hdphoto" Target="../media/hdphoto37.wdp"/><Relationship Id="rId42" Type="http://schemas.openxmlformats.org/officeDocument/2006/relationships/image" Target="../media/image87.png"/><Relationship Id="rId47" Type="http://schemas.openxmlformats.org/officeDocument/2006/relationships/image" Target="../media/image115.png"/><Relationship Id="rId63" Type="http://schemas.openxmlformats.org/officeDocument/2006/relationships/image" Target="../media/image25.png"/><Relationship Id="rId68" Type="http://schemas.openxmlformats.org/officeDocument/2006/relationships/image" Target="../media/image124.png"/><Relationship Id="rId7" Type="http://schemas.microsoft.com/office/2007/relationships/hdphoto" Target="../media/hdphoto19.wdp"/><Relationship Id="rId2" Type="http://schemas.openxmlformats.org/officeDocument/2006/relationships/image" Target="../media/image144.png"/><Relationship Id="rId16" Type="http://schemas.openxmlformats.org/officeDocument/2006/relationships/image" Target="../media/image158.png"/><Relationship Id="rId29" Type="http://schemas.openxmlformats.org/officeDocument/2006/relationships/image" Target="../media/image53.png"/><Relationship Id="rId11" Type="http://schemas.microsoft.com/office/2007/relationships/hdphoto" Target="../media/hdphoto18.wdp"/><Relationship Id="rId24" Type="http://schemas.openxmlformats.org/officeDocument/2006/relationships/image" Target="../media/image171.png"/><Relationship Id="rId32" Type="http://schemas.openxmlformats.org/officeDocument/2006/relationships/image" Target="../media/image179.png"/><Relationship Id="rId37" Type="http://schemas.openxmlformats.org/officeDocument/2006/relationships/image" Target="../media/image16.png"/><Relationship Id="rId40" Type="http://schemas.openxmlformats.org/officeDocument/2006/relationships/image" Target="../media/image205.png"/><Relationship Id="rId45" Type="http://schemas.openxmlformats.org/officeDocument/2006/relationships/image" Target="../media/image110.png"/><Relationship Id="rId53" Type="http://schemas.openxmlformats.org/officeDocument/2006/relationships/image" Target="../media/image175.png"/><Relationship Id="rId58" Type="http://schemas.openxmlformats.org/officeDocument/2006/relationships/image" Target="../media/image23.png"/><Relationship Id="rId66" Type="http://schemas.openxmlformats.org/officeDocument/2006/relationships/image" Target="../media/image30.png"/><Relationship Id="rId5" Type="http://schemas.microsoft.com/office/2007/relationships/hdphoto" Target="../media/hdphoto7.wdp"/><Relationship Id="rId61" Type="http://schemas.openxmlformats.org/officeDocument/2006/relationships/image" Target="../media/image176.png"/><Relationship Id="rId19" Type="http://schemas.microsoft.com/office/2007/relationships/hdphoto" Target="../media/hdphoto25.wdp"/><Relationship Id="rId14" Type="http://schemas.openxmlformats.org/officeDocument/2006/relationships/image" Target="../media/image203.png"/><Relationship Id="rId22" Type="http://schemas.openxmlformats.org/officeDocument/2006/relationships/image" Target="../media/image204.png"/><Relationship Id="rId27" Type="http://schemas.openxmlformats.org/officeDocument/2006/relationships/image" Target="../media/image41.png"/><Relationship Id="rId30" Type="http://schemas.openxmlformats.org/officeDocument/2006/relationships/image" Target="../media/image50.png"/><Relationship Id="rId35" Type="http://schemas.openxmlformats.org/officeDocument/2006/relationships/image" Target="../media/image15.png"/><Relationship Id="rId43" Type="http://schemas.openxmlformats.org/officeDocument/2006/relationships/image" Target="../media/image106.png"/><Relationship Id="rId48" Type="http://schemas.openxmlformats.org/officeDocument/2006/relationships/image" Target="../media/image118.png"/><Relationship Id="rId56" Type="http://schemas.openxmlformats.org/officeDocument/2006/relationships/image" Target="../media/image19.png"/><Relationship Id="rId64" Type="http://schemas.openxmlformats.org/officeDocument/2006/relationships/image" Target="../media/image34.png"/><Relationship Id="rId69" Type="http://schemas.openxmlformats.org/officeDocument/2006/relationships/image" Target="../media/image207.png"/><Relationship Id="rId8" Type="http://schemas.openxmlformats.org/officeDocument/2006/relationships/image" Target="../media/image152.png"/><Relationship Id="rId51" Type="http://schemas.openxmlformats.org/officeDocument/2006/relationships/image" Target="../media/image174.png"/><Relationship Id="rId3" Type="http://schemas.microsoft.com/office/2007/relationships/hdphoto" Target="../media/hdphoto9.wdp"/><Relationship Id="rId12" Type="http://schemas.openxmlformats.org/officeDocument/2006/relationships/image" Target="../media/image161.png"/><Relationship Id="rId17" Type="http://schemas.microsoft.com/office/2007/relationships/hdphoto" Target="../media/hdphoto23.wdp"/><Relationship Id="rId25" Type="http://schemas.openxmlformats.org/officeDocument/2006/relationships/image" Target="../media/image39.png"/><Relationship Id="rId33" Type="http://schemas.openxmlformats.org/officeDocument/2006/relationships/image" Target="../media/image4.png"/><Relationship Id="rId38" Type="http://schemas.openxmlformats.org/officeDocument/2006/relationships/image" Target="../media/image172.png"/><Relationship Id="rId46" Type="http://schemas.openxmlformats.org/officeDocument/2006/relationships/image" Target="../media/image114.png"/><Relationship Id="rId59" Type="http://schemas.openxmlformats.org/officeDocument/2006/relationships/image" Target="../media/image28.png"/><Relationship Id="rId67" Type="http://schemas.openxmlformats.org/officeDocument/2006/relationships/image" Target="../media/image120.png"/><Relationship Id="rId20" Type="http://schemas.openxmlformats.org/officeDocument/2006/relationships/image" Target="../media/image184.png"/><Relationship Id="rId41" Type="http://schemas.openxmlformats.org/officeDocument/2006/relationships/image" Target="../media/image206.png"/><Relationship Id="rId54" Type="http://schemas.openxmlformats.org/officeDocument/2006/relationships/image" Target="../media/image121.png"/><Relationship Id="rId62" Type="http://schemas.openxmlformats.org/officeDocument/2006/relationships/image" Target="../media/image177.png"/><Relationship Id="rId1" Type="http://schemas.openxmlformats.org/officeDocument/2006/relationships/image" Target="../media/image202.png"/><Relationship Id="rId6" Type="http://schemas.openxmlformats.org/officeDocument/2006/relationships/image" Target="../media/image154.png"/><Relationship Id="rId15" Type="http://schemas.microsoft.com/office/2007/relationships/hdphoto" Target="../media/hdphoto39.wdp"/><Relationship Id="rId23" Type="http://schemas.openxmlformats.org/officeDocument/2006/relationships/image" Target="../media/image46.png"/><Relationship Id="rId28" Type="http://schemas.openxmlformats.org/officeDocument/2006/relationships/image" Target="../media/image45.png"/><Relationship Id="rId36" Type="http://schemas.openxmlformats.org/officeDocument/2006/relationships/image" Target="../media/image18.png"/><Relationship Id="rId49" Type="http://schemas.openxmlformats.org/officeDocument/2006/relationships/image" Target="../media/image116.png"/><Relationship Id="rId57" Type="http://schemas.openxmlformats.org/officeDocument/2006/relationships/image" Target="../media/image22.png"/><Relationship Id="rId10" Type="http://schemas.openxmlformats.org/officeDocument/2006/relationships/image" Target="../media/image153.png"/><Relationship Id="rId31" Type="http://schemas.openxmlformats.org/officeDocument/2006/relationships/image" Target="../media/image40.png"/><Relationship Id="rId44" Type="http://schemas.openxmlformats.org/officeDocument/2006/relationships/image" Target="../media/image108.png"/><Relationship Id="rId52" Type="http://schemas.openxmlformats.org/officeDocument/2006/relationships/image" Target="../media/image135.png"/><Relationship Id="rId60" Type="http://schemas.openxmlformats.org/officeDocument/2006/relationships/image" Target="../media/image29.png"/><Relationship Id="rId65" Type="http://schemas.openxmlformats.org/officeDocument/2006/relationships/image" Target="../media/image76.png"/><Relationship Id="rId4" Type="http://schemas.openxmlformats.org/officeDocument/2006/relationships/image" Target="../media/image142.png"/><Relationship Id="rId9" Type="http://schemas.microsoft.com/office/2007/relationships/hdphoto" Target="../media/hdphoto17.wdp"/><Relationship Id="rId13" Type="http://schemas.microsoft.com/office/2007/relationships/hdphoto" Target="../media/hdphoto26.wdp"/><Relationship Id="rId18" Type="http://schemas.openxmlformats.org/officeDocument/2006/relationships/image" Target="../media/image160.png"/><Relationship Id="rId39" Type="http://schemas.openxmlformats.org/officeDocument/2006/relationships/image" Target="../media/image173.png"/><Relationship Id="rId34" Type="http://schemas.openxmlformats.org/officeDocument/2006/relationships/image" Target="../media/image5.png"/><Relationship Id="rId50" Type="http://schemas.openxmlformats.org/officeDocument/2006/relationships/image" Target="../media/image119.png"/><Relationship Id="rId55" Type="http://schemas.openxmlformats.org/officeDocument/2006/relationships/image" Target="../media/image11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0.png"/><Relationship Id="rId2" Type="http://schemas.openxmlformats.org/officeDocument/2006/relationships/image" Target="../media/image209.png"/><Relationship Id="rId1" Type="http://schemas.openxmlformats.org/officeDocument/2006/relationships/image" Target="../media/image208.png"/><Relationship Id="rId6" Type="http://schemas.openxmlformats.org/officeDocument/2006/relationships/image" Target="../media/image213.png"/><Relationship Id="rId5" Type="http://schemas.openxmlformats.org/officeDocument/2006/relationships/image" Target="../media/image212.png"/><Relationship Id="rId4" Type="http://schemas.openxmlformats.org/officeDocument/2006/relationships/image" Target="../media/image21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18" Type="http://schemas.openxmlformats.org/officeDocument/2006/relationships/image" Target="../media/image36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17" Type="http://schemas.openxmlformats.org/officeDocument/2006/relationships/image" Target="../media/image35.png"/><Relationship Id="rId2" Type="http://schemas.openxmlformats.org/officeDocument/2006/relationships/image" Target="../media/image20.png"/><Relationship Id="rId16" Type="http://schemas.openxmlformats.org/officeDocument/2006/relationships/image" Target="../media/image34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5" Type="http://schemas.openxmlformats.org/officeDocument/2006/relationships/image" Target="../media/image3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49.png"/><Relationship Id="rId18" Type="http://schemas.openxmlformats.org/officeDocument/2006/relationships/image" Target="../media/image54.png"/><Relationship Id="rId3" Type="http://schemas.openxmlformats.org/officeDocument/2006/relationships/image" Target="../media/image39.png"/><Relationship Id="rId7" Type="http://schemas.openxmlformats.org/officeDocument/2006/relationships/image" Target="../media/image43.png"/><Relationship Id="rId12" Type="http://schemas.openxmlformats.org/officeDocument/2006/relationships/image" Target="../media/image48.png"/><Relationship Id="rId17" Type="http://schemas.openxmlformats.org/officeDocument/2006/relationships/image" Target="../media/image53.png"/><Relationship Id="rId2" Type="http://schemas.openxmlformats.org/officeDocument/2006/relationships/image" Target="../media/image38.png"/><Relationship Id="rId16" Type="http://schemas.openxmlformats.org/officeDocument/2006/relationships/image" Target="../media/image52.png"/><Relationship Id="rId1" Type="http://schemas.openxmlformats.org/officeDocument/2006/relationships/image" Target="../media/image37.png"/><Relationship Id="rId6" Type="http://schemas.openxmlformats.org/officeDocument/2006/relationships/image" Target="../media/image42.png"/><Relationship Id="rId11" Type="http://schemas.openxmlformats.org/officeDocument/2006/relationships/image" Target="../media/image47.png"/><Relationship Id="rId5" Type="http://schemas.openxmlformats.org/officeDocument/2006/relationships/image" Target="../media/image41.png"/><Relationship Id="rId15" Type="http://schemas.openxmlformats.org/officeDocument/2006/relationships/image" Target="../media/image51.png"/><Relationship Id="rId10" Type="http://schemas.openxmlformats.org/officeDocument/2006/relationships/image" Target="../media/image46.png"/><Relationship Id="rId4" Type="http://schemas.openxmlformats.org/officeDocument/2006/relationships/image" Target="../media/image40.png"/><Relationship Id="rId9" Type="http://schemas.openxmlformats.org/officeDocument/2006/relationships/image" Target="../media/image45.png"/><Relationship Id="rId14" Type="http://schemas.openxmlformats.org/officeDocument/2006/relationships/image" Target="../media/image5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2.png"/><Relationship Id="rId13" Type="http://schemas.openxmlformats.org/officeDocument/2006/relationships/image" Target="../media/image67.png"/><Relationship Id="rId3" Type="http://schemas.openxmlformats.org/officeDocument/2006/relationships/image" Target="../media/image57.png"/><Relationship Id="rId7" Type="http://schemas.openxmlformats.org/officeDocument/2006/relationships/image" Target="../media/image61.png"/><Relationship Id="rId12" Type="http://schemas.openxmlformats.org/officeDocument/2006/relationships/image" Target="../media/image66.png"/><Relationship Id="rId17" Type="http://schemas.openxmlformats.org/officeDocument/2006/relationships/image" Target="../media/image71.png"/><Relationship Id="rId2" Type="http://schemas.openxmlformats.org/officeDocument/2006/relationships/image" Target="../media/image56.png"/><Relationship Id="rId16" Type="http://schemas.openxmlformats.org/officeDocument/2006/relationships/image" Target="../media/image70.png"/><Relationship Id="rId1" Type="http://schemas.openxmlformats.org/officeDocument/2006/relationships/image" Target="../media/image55.png"/><Relationship Id="rId6" Type="http://schemas.openxmlformats.org/officeDocument/2006/relationships/image" Target="../media/image60.png"/><Relationship Id="rId11" Type="http://schemas.openxmlformats.org/officeDocument/2006/relationships/image" Target="../media/image65.png"/><Relationship Id="rId5" Type="http://schemas.openxmlformats.org/officeDocument/2006/relationships/image" Target="../media/image59.png"/><Relationship Id="rId15" Type="http://schemas.openxmlformats.org/officeDocument/2006/relationships/image" Target="../media/image69.png"/><Relationship Id="rId10" Type="http://schemas.openxmlformats.org/officeDocument/2006/relationships/image" Target="../media/image64.png"/><Relationship Id="rId4" Type="http://schemas.openxmlformats.org/officeDocument/2006/relationships/image" Target="../media/image58.png"/><Relationship Id="rId9" Type="http://schemas.openxmlformats.org/officeDocument/2006/relationships/image" Target="../media/image63.png"/><Relationship Id="rId14" Type="http://schemas.openxmlformats.org/officeDocument/2006/relationships/image" Target="../media/image6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9.png"/><Relationship Id="rId13" Type="http://schemas.openxmlformats.org/officeDocument/2006/relationships/image" Target="../media/image84.png"/><Relationship Id="rId18" Type="http://schemas.openxmlformats.org/officeDocument/2006/relationships/image" Target="../media/image89.png"/><Relationship Id="rId3" Type="http://schemas.openxmlformats.org/officeDocument/2006/relationships/image" Target="../media/image74.png"/><Relationship Id="rId7" Type="http://schemas.openxmlformats.org/officeDocument/2006/relationships/image" Target="../media/image78.png"/><Relationship Id="rId12" Type="http://schemas.openxmlformats.org/officeDocument/2006/relationships/image" Target="../media/image83.png"/><Relationship Id="rId17" Type="http://schemas.openxmlformats.org/officeDocument/2006/relationships/image" Target="../media/image88.png"/><Relationship Id="rId2" Type="http://schemas.openxmlformats.org/officeDocument/2006/relationships/image" Target="../media/image73.png"/><Relationship Id="rId16" Type="http://schemas.openxmlformats.org/officeDocument/2006/relationships/image" Target="../media/image87.png"/><Relationship Id="rId1" Type="http://schemas.openxmlformats.org/officeDocument/2006/relationships/image" Target="../media/image72.png"/><Relationship Id="rId6" Type="http://schemas.openxmlformats.org/officeDocument/2006/relationships/image" Target="../media/image77.png"/><Relationship Id="rId11" Type="http://schemas.openxmlformats.org/officeDocument/2006/relationships/image" Target="../media/image82.png"/><Relationship Id="rId5" Type="http://schemas.openxmlformats.org/officeDocument/2006/relationships/image" Target="../media/image76.png"/><Relationship Id="rId15" Type="http://schemas.openxmlformats.org/officeDocument/2006/relationships/image" Target="../media/image86.png"/><Relationship Id="rId10" Type="http://schemas.openxmlformats.org/officeDocument/2006/relationships/image" Target="../media/image81.png"/><Relationship Id="rId19" Type="http://schemas.openxmlformats.org/officeDocument/2006/relationships/image" Target="../media/image90.png"/><Relationship Id="rId4" Type="http://schemas.openxmlformats.org/officeDocument/2006/relationships/image" Target="../media/image75.png"/><Relationship Id="rId9" Type="http://schemas.openxmlformats.org/officeDocument/2006/relationships/image" Target="../media/image80.png"/><Relationship Id="rId14" Type="http://schemas.openxmlformats.org/officeDocument/2006/relationships/image" Target="../media/image8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8.png"/><Relationship Id="rId13" Type="http://schemas.openxmlformats.org/officeDocument/2006/relationships/image" Target="../media/image103.png"/><Relationship Id="rId3" Type="http://schemas.openxmlformats.org/officeDocument/2006/relationships/image" Target="../media/image93.png"/><Relationship Id="rId7" Type="http://schemas.openxmlformats.org/officeDocument/2006/relationships/image" Target="../media/image97.png"/><Relationship Id="rId12" Type="http://schemas.openxmlformats.org/officeDocument/2006/relationships/image" Target="../media/image102.png"/><Relationship Id="rId2" Type="http://schemas.openxmlformats.org/officeDocument/2006/relationships/image" Target="../media/image92.png"/><Relationship Id="rId1" Type="http://schemas.openxmlformats.org/officeDocument/2006/relationships/image" Target="../media/image91.png"/><Relationship Id="rId6" Type="http://schemas.openxmlformats.org/officeDocument/2006/relationships/image" Target="../media/image96.png"/><Relationship Id="rId11" Type="http://schemas.openxmlformats.org/officeDocument/2006/relationships/image" Target="../media/image101.png"/><Relationship Id="rId5" Type="http://schemas.openxmlformats.org/officeDocument/2006/relationships/image" Target="../media/image95.png"/><Relationship Id="rId10" Type="http://schemas.openxmlformats.org/officeDocument/2006/relationships/image" Target="../media/image100.png"/><Relationship Id="rId4" Type="http://schemas.openxmlformats.org/officeDocument/2006/relationships/image" Target="../media/image94.png"/><Relationship Id="rId9" Type="http://schemas.openxmlformats.org/officeDocument/2006/relationships/image" Target="../media/image99.png"/><Relationship Id="rId14" Type="http://schemas.openxmlformats.org/officeDocument/2006/relationships/image" Target="../media/image10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2.png"/><Relationship Id="rId13" Type="http://schemas.openxmlformats.org/officeDocument/2006/relationships/image" Target="../media/image117.png"/><Relationship Id="rId18" Type="http://schemas.openxmlformats.org/officeDocument/2006/relationships/image" Target="../media/image122.png"/><Relationship Id="rId3" Type="http://schemas.openxmlformats.org/officeDocument/2006/relationships/image" Target="../media/image107.png"/><Relationship Id="rId7" Type="http://schemas.openxmlformats.org/officeDocument/2006/relationships/image" Target="../media/image111.png"/><Relationship Id="rId12" Type="http://schemas.openxmlformats.org/officeDocument/2006/relationships/image" Target="../media/image116.png"/><Relationship Id="rId17" Type="http://schemas.openxmlformats.org/officeDocument/2006/relationships/image" Target="../media/image121.png"/><Relationship Id="rId2" Type="http://schemas.openxmlformats.org/officeDocument/2006/relationships/image" Target="../media/image106.png"/><Relationship Id="rId16" Type="http://schemas.openxmlformats.org/officeDocument/2006/relationships/image" Target="../media/image120.png"/><Relationship Id="rId1" Type="http://schemas.openxmlformats.org/officeDocument/2006/relationships/image" Target="../media/image105.png"/><Relationship Id="rId6" Type="http://schemas.openxmlformats.org/officeDocument/2006/relationships/image" Target="../media/image110.png"/><Relationship Id="rId11" Type="http://schemas.openxmlformats.org/officeDocument/2006/relationships/image" Target="../media/image115.png"/><Relationship Id="rId5" Type="http://schemas.openxmlformats.org/officeDocument/2006/relationships/image" Target="../media/image109.png"/><Relationship Id="rId15" Type="http://schemas.openxmlformats.org/officeDocument/2006/relationships/image" Target="../media/image119.png"/><Relationship Id="rId10" Type="http://schemas.openxmlformats.org/officeDocument/2006/relationships/image" Target="../media/image114.png"/><Relationship Id="rId4" Type="http://schemas.openxmlformats.org/officeDocument/2006/relationships/image" Target="../media/image108.png"/><Relationship Id="rId9" Type="http://schemas.openxmlformats.org/officeDocument/2006/relationships/image" Target="../media/image113.png"/><Relationship Id="rId14" Type="http://schemas.openxmlformats.org/officeDocument/2006/relationships/image" Target="../media/image11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0.png"/><Relationship Id="rId13" Type="http://schemas.openxmlformats.org/officeDocument/2006/relationships/image" Target="../media/image135.png"/><Relationship Id="rId3" Type="http://schemas.openxmlformats.org/officeDocument/2006/relationships/image" Target="../media/image125.png"/><Relationship Id="rId7" Type="http://schemas.openxmlformats.org/officeDocument/2006/relationships/image" Target="../media/image129.png"/><Relationship Id="rId12" Type="http://schemas.openxmlformats.org/officeDocument/2006/relationships/image" Target="../media/image134.png"/><Relationship Id="rId2" Type="http://schemas.openxmlformats.org/officeDocument/2006/relationships/image" Target="../media/image124.png"/><Relationship Id="rId1" Type="http://schemas.openxmlformats.org/officeDocument/2006/relationships/image" Target="../media/image123.png"/><Relationship Id="rId6" Type="http://schemas.openxmlformats.org/officeDocument/2006/relationships/image" Target="../media/image128.png"/><Relationship Id="rId11" Type="http://schemas.openxmlformats.org/officeDocument/2006/relationships/image" Target="../media/image133.png"/><Relationship Id="rId5" Type="http://schemas.openxmlformats.org/officeDocument/2006/relationships/image" Target="../media/image127.png"/><Relationship Id="rId10" Type="http://schemas.openxmlformats.org/officeDocument/2006/relationships/image" Target="../media/image132.png"/><Relationship Id="rId4" Type="http://schemas.openxmlformats.org/officeDocument/2006/relationships/image" Target="../media/image126.png"/><Relationship Id="rId9" Type="http://schemas.openxmlformats.org/officeDocument/2006/relationships/image" Target="../media/image131.png"/></Relationships>
</file>

<file path=xl/drawings/_rels/drawing9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8.png"/><Relationship Id="rId21" Type="http://schemas.openxmlformats.org/officeDocument/2006/relationships/image" Target="../media/image146.png"/><Relationship Id="rId42" Type="http://schemas.microsoft.com/office/2007/relationships/hdphoto" Target="../media/hdphoto21.wdp"/><Relationship Id="rId63" Type="http://schemas.openxmlformats.org/officeDocument/2006/relationships/image" Target="../media/image45.png"/><Relationship Id="rId84" Type="http://schemas.openxmlformats.org/officeDocument/2006/relationships/image" Target="../media/image162.png"/><Relationship Id="rId138" Type="http://schemas.openxmlformats.org/officeDocument/2006/relationships/image" Target="../media/image120.png"/><Relationship Id="rId159" Type="http://schemas.openxmlformats.org/officeDocument/2006/relationships/image" Target="../media/image36.png"/><Relationship Id="rId170" Type="http://schemas.openxmlformats.org/officeDocument/2006/relationships/image" Target="../media/image135.png"/><Relationship Id="rId107" Type="http://schemas.openxmlformats.org/officeDocument/2006/relationships/image" Target="../media/image76.png"/><Relationship Id="rId11" Type="http://schemas.openxmlformats.org/officeDocument/2006/relationships/image" Target="../media/image141.png"/><Relationship Id="rId32" Type="http://schemas.microsoft.com/office/2007/relationships/hdphoto" Target="../media/hdphoto16.wdp"/><Relationship Id="rId53" Type="http://schemas.openxmlformats.org/officeDocument/2006/relationships/image" Target="../media/image158.png"/><Relationship Id="rId74" Type="http://schemas.openxmlformats.org/officeDocument/2006/relationships/image" Target="../media/image65.png"/><Relationship Id="rId128" Type="http://schemas.openxmlformats.org/officeDocument/2006/relationships/image" Target="../media/image108.png"/><Relationship Id="rId149" Type="http://schemas.openxmlformats.org/officeDocument/2006/relationships/image" Target="../media/image25.png"/><Relationship Id="rId5" Type="http://schemas.openxmlformats.org/officeDocument/2006/relationships/image" Target="../media/image138.png"/><Relationship Id="rId95" Type="http://schemas.microsoft.com/office/2007/relationships/hdphoto" Target="../media/hdphoto32.wdp"/><Relationship Id="rId160" Type="http://schemas.openxmlformats.org/officeDocument/2006/relationships/image" Target="../media/image123.png"/><Relationship Id="rId181" Type="http://schemas.openxmlformats.org/officeDocument/2006/relationships/image" Target="../media/image179.png"/><Relationship Id="rId22" Type="http://schemas.microsoft.com/office/2007/relationships/hdphoto" Target="../media/hdphoto11.wdp"/><Relationship Id="rId43" Type="http://schemas.openxmlformats.org/officeDocument/2006/relationships/image" Target="../media/image1.png"/><Relationship Id="rId64" Type="http://schemas.openxmlformats.org/officeDocument/2006/relationships/image" Target="../media/image48.png"/><Relationship Id="rId118" Type="http://schemas.openxmlformats.org/officeDocument/2006/relationships/image" Target="../media/image169.png"/><Relationship Id="rId139" Type="http://schemas.openxmlformats.org/officeDocument/2006/relationships/image" Target="../media/image121.png"/><Relationship Id="rId85" Type="http://schemas.microsoft.com/office/2007/relationships/hdphoto" Target="../media/hdphoto27.wdp"/><Relationship Id="rId150" Type="http://schemas.openxmlformats.org/officeDocument/2006/relationships/image" Target="../media/image26.png"/><Relationship Id="rId171" Type="http://schemas.openxmlformats.org/officeDocument/2006/relationships/image" Target="../media/image170.png"/><Relationship Id="rId12" Type="http://schemas.microsoft.com/office/2007/relationships/hdphoto" Target="../media/hdphoto6.wdp"/><Relationship Id="rId33" Type="http://schemas.openxmlformats.org/officeDocument/2006/relationships/image" Target="../media/image152.png"/><Relationship Id="rId108" Type="http://schemas.openxmlformats.org/officeDocument/2006/relationships/image" Target="../media/image77.png"/><Relationship Id="rId129" Type="http://schemas.openxmlformats.org/officeDocument/2006/relationships/image" Target="../media/image110.png"/><Relationship Id="rId54" Type="http://schemas.microsoft.com/office/2007/relationships/hdphoto" Target="../media/hdphoto23.wdp"/><Relationship Id="rId75" Type="http://schemas.openxmlformats.org/officeDocument/2006/relationships/image" Target="../media/image161.png"/><Relationship Id="rId96" Type="http://schemas.openxmlformats.org/officeDocument/2006/relationships/image" Target="../media/image168.png"/><Relationship Id="rId140" Type="http://schemas.openxmlformats.org/officeDocument/2006/relationships/image" Target="../media/image122.png"/><Relationship Id="rId161" Type="http://schemas.openxmlformats.org/officeDocument/2006/relationships/image" Target="../media/image126.png"/><Relationship Id="rId182" Type="http://schemas.openxmlformats.org/officeDocument/2006/relationships/image" Target="../media/image180.png"/><Relationship Id="rId6" Type="http://schemas.microsoft.com/office/2007/relationships/hdphoto" Target="../media/hdphoto3.wdp"/><Relationship Id="rId23" Type="http://schemas.openxmlformats.org/officeDocument/2006/relationships/image" Target="../media/image147.png"/><Relationship Id="rId119" Type="http://schemas.microsoft.com/office/2007/relationships/hdphoto" Target="../media/hdphoto34.wdp"/><Relationship Id="rId44" Type="http://schemas.openxmlformats.org/officeDocument/2006/relationships/image" Target="../media/image9.png"/><Relationship Id="rId60" Type="http://schemas.openxmlformats.org/officeDocument/2006/relationships/image" Target="../media/image41.png"/><Relationship Id="rId65" Type="http://schemas.openxmlformats.org/officeDocument/2006/relationships/image" Target="../media/image160.png"/><Relationship Id="rId81" Type="http://schemas.openxmlformats.org/officeDocument/2006/relationships/image" Target="../media/image96.png"/><Relationship Id="rId86" Type="http://schemas.openxmlformats.org/officeDocument/2006/relationships/image" Target="../media/image163.png"/><Relationship Id="rId130" Type="http://schemas.openxmlformats.org/officeDocument/2006/relationships/image" Target="../media/image111.png"/><Relationship Id="rId135" Type="http://schemas.openxmlformats.org/officeDocument/2006/relationships/image" Target="../media/image119.png"/><Relationship Id="rId151" Type="http://schemas.openxmlformats.org/officeDocument/2006/relationships/image" Target="../media/image28.png"/><Relationship Id="rId156" Type="http://schemas.openxmlformats.org/officeDocument/2006/relationships/image" Target="../media/image33.png"/><Relationship Id="rId177" Type="http://schemas.openxmlformats.org/officeDocument/2006/relationships/image" Target="../media/image175.png"/><Relationship Id="rId172" Type="http://schemas.microsoft.com/office/2007/relationships/hdphoto" Target="../media/hdphoto35.wdp"/><Relationship Id="rId13" Type="http://schemas.openxmlformats.org/officeDocument/2006/relationships/image" Target="../media/image142.png"/><Relationship Id="rId18" Type="http://schemas.microsoft.com/office/2007/relationships/hdphoto" Target="../media/hdphoto9.wdp"/><Relationship Id="rId39" Type="http://schemas.openxmlformats.org/officeDocument/2006/relationships/image" Target="../media/image155.png"/><Relationship Id="rId109" Type="http://schemas.openxmlformats.org/officeDocument/2006/relationships/image" Target="../media/image80.png"/><Relationship Id="rId34" Type="http://schemas.microsoft.com/office/2007/relationships/hdphoto" Target="../media/hdphoto17.wdp"/><Relationship Id="rId50" Type="http://schemas.openxmlformats.org/officeDocument/2006/relationships/image" Target="../media/image113.png"/><Relationship Id="rId55" Type="http://schemas.openxmlformats.org/officeDocument/2006/relationships/image" Target="../media/image159.png"/><Relationship Id="rId76" Type="http://schemas.microsoft.com/office/2007/relationships/hdphoto" Target="../media/hdphoto26.wdp"/><Relationship Id="rId97" Type="http://schemas.microsoft.com/office/2007/relationships/hdphoto" Target="../media/hdphoto33.wdp"/><Relationship Id="rId104" Type="http://schemas.openxmlformats.org/officeDocument/2006/relationships/image" Target="../media/image73.png"/><Relationship Id="rId120" Type="http://schemas.openxmlformats.org/officeDocument/2006/relationships/image" Target="../media/image10.png"/><Relationship Id="rId125" Type="http://schemas.openxmlformats.org/officeDocument/2006/relationships/image" Target="../media/image105.png"/><Relationship Id="rId141" Type="http://schemas.openxmlformats.org/officeDocument/2006/relationships/image" Target="../media/image69.png"/><Relationship Id="rId146" Type="http://schemas.openxmlformats.org/officeDocument/2006/relationships/image" Target="../media/image21.png"/><Relationship Id="rId167" Type="http://schemas.openxmlformats.org/officeDocument/2006/relationships/image" Target="../media/image132.png"/><Relationship Id="rId7" Type="http://schemas.openxmlformats.org/officeDocument/2006/relationships/image" Target="../media/image139.png"/><Relationship Id="rId71" Type="http://schemas.openxmlformats.org/officeDocument/2006/relationships/image" Target="../media/image61.png"/><Relationship Id="rId92" Type="http://schemas.openxmlformats.org/officeDocument/2006/relationships/image" Target="../media/image166.png"/><Relationship Id="rId162" Type="http://schemas.openxmlformats.org/officeDocument/2006/relationships/image" Target="../media/image127.png"/><Relationship Id="rId183" Type="http://schemas.openxmlformats.org/officeDocument/2006/relationships/image" Target="../media/image181.png"/><Relationship Id="rId2" Type="http://schemas.microsoft.com/office/2007/relationships/hdphoto" Target="../media/hdphoto1.wdp"/><Relationship Id="rId29" Type="http://schemas.openxmlformats.org/officeDocument/2006/relationships/image" Target="../media/image150.png"/><Relationship Id="rId24" Type="http://schemas.microsoft.com/office/2007/relationships/hdphoto" Target="../media/hdphoto12.wdp"/><Relationship Id="rId40" Type="http://schemas.microsoft.com/office/2007/relationships/hdphoto" Target="../media/hdphoto20.wdp"/><Relationship Id="rId45" Type="http://schemas.openxmlformats.org/officeDocument/2006/relationships/image" Target="../media/image24.png"/><Relationship Id="rId66" Type="http://schemas.microsoft.com/office/2007/relationships/hdphoto" Target="../media/hdphoto25.wdp"/><Relationship Id="rId87" Type="http://schemas.microsoft.com/office/2007/relationships/hdphoto" Target="../media/hdphoto28.wdp"/><Relationship Id="rId110" Type="http://schemas.openxmlformats.org/officeDocument/2006/relationships/image" Target="../media/image82.png"/><Relationship Id="rId115" Type="http://schemas.openxmlformats.org/officeDocument/2006/relationships/image" Target="../media/image3.png"/><Relationship Id="rId131" Type="http://schemas.openxmlformats.org/officeDocument/2006/relationships/image" Target="../media/image112.png"/><Relationship Id="rId136" Type="http://schemas.openxmlformats.org/officeDocument/2006/relationships/image" Target="../media/image117.png"/><Relationship Id="rId157" Type="http://schemas.openxmlformats.org/officeDocument/2006/relationships/image" Target="../media/image34.png"/><Relationship Id="rId178" Type="http://schemas.openxmlformats.org/officeDocument/2006/relationships/image" Target="../media/image176.png"/><Relationship Id="rId61" Type="http://schemas.openxmlformats.org/officeDocument/2006/relationships/image" Target="../media/image43.png"/><Relationship Id="rId82" Type="http://schemas.openxmlformats.org/officeDocument/2006/relationships/image" Target="../media/image97.png"/><Relationship Id="rId152" Type="http://schemas.openxmlformats.org/officeDocument/2006/relationships/image" Target="../media/image29.png"/><Relationship Id="rId173" Type="http://schemas.openxmlformats.org/officeDocument/2006/relationships/image" Target="../media/image171.png"/><Relationship Id="rId19" Type="http://schemas.openxmlformats.org/officeDocument/2006/relationships/image" Target="../media/image145.png"/><Relationship Id="rId14" Type="http://schemas.microsoft.com/office/2007/relationships/hdphoto" Target="../media/hdphoto7.wdp"/><Relationship Id="rId30" Type="http://schemas.microsoft.com/office/2007/relationships/hdphoto" Target="../media/hdphoto15.wdp"/><Relationship Id="rId35" Type="http://schemas.openxmlformats.org/officeDocument/2006/relationships/image" Target="../media/image153.png"/><Relationship Id="rId56" Type="http://schemas.microsoft.com/office/2007/relationships/hdphoto" Target="../media/hdphoto24.wdp"/><Relationship Id="rId77" Type="http://schemas.openxmlformats.org/officeDocument/2006/relationships/image" Target="../media/image67.png"/><Relationship Id="rId100" Type="http://schemas.openxmlformats.org/officeDocument/2006/relationships/image" Target="../media/image49.png"/><Relationship Id="rId105" Type="http://schemas.openxmlformats.org/officeDocument/2006/relationships/image" Target="../media/image74.png"/><Relationship Id="rId126" Type="http://schemas.openxmlformats.org/officeDocument/2006/relationships/image" Target="../media/image106.png"/><Relationship Id="rId147" Type="http://schemas.openxmlformats.org/officeDocument/2006/relationships/image" Target="../media/image22.png"/><Relationship Id="rId168" Type="http://schemas.openxmlformats.org/officeDocument/2006/relationships/image" Target="../media/image133.png"/><Relationship Id="rId8" Type="http://schemas.microsoft.com/office/2007/relationships/hdphoto" Target="../media/hdphoto4.wdp"/><Relationship Id="rId51" Type="http://schemas.openxmlformats.org/officeDocument/2006/relationships/image" Target="../media/image27.png"/><Relationship Id="rId72" Type="http://schemas.openxmlformats.org/officeDocument/2006/relationships/image" Target="../media/image62.png"/><Relationship Id="rId93" Type="http://schemas.microsoft.com/office/2007/relationships/hdphoto" Target="../media/hdphoto31.wdp"/><Relationship Id="rId98" Type="http://schemas.openxmlformats.org/officeDocument/2006/relationships/image" Target="../media/image54.png"/><Relationship Id="rId121" Type="http://schemas.openxmlformats.org/officeDocument/2006/relationships/image" Target="../media/image12.png"/><Relationship Id="rId142" Type="http://schemas.openxmlformats.org/officeDocument/2006/relationships/image" Target="../media/image16.png"/><Relationship Id="rId163" Type="http://schemas.openxmlformats.org/officeDocument/2006/relationships/image" Target="../media/image128.png"/><Relationship Id="rId184" Type="http://schemas.openxmlformats.org/officeDocument/2006/relationships/image" Target="../media/image182.png"/><Relationship Id="rId3" Type="http://schemas.openxmlformats.org/officeDocument/2006/relationships/image" Target="../media/image137.png"/><Relationship Id="rId25" Type="http://schemas.openxmlformats.org/officeDocument/2006/relationships/image" Target="../media/image148.png"/><Relationship Id="rId46" Type="http://schemas.openxmlformats.org/officeDocument/2006/relationships/image" Target="../media/image52.png"/><Relationship Id="rId67" Type="http://schemas.openxmlformats.org/officeDocument/2006/relationships/image" Target="../media/image53.png"/><Relationship Id="rId116" Type="http://schemas.openxmlformats.org/officeDocument/2006/relationships/image" Target="../media/image5.png"/><Relationship Id="rId137" Type="http://schemas.openxmlformats.org/officeDocument/2006/relationships/image" Target="../media/image118.png"/><Relationship Id="rId158" Type="http://schemas.openxmlformats.org/officeDocument/2006/relationships/image" Target="../media/image35.png"/><Relationship Id="rId20" Type="http://schemas.microsoft.com/office/2007/relationships/hdphoto" Target="../media/hdphoto10.wdp"/><Relationship Id="rId41" Type="http://schemas.openxmlformats.org/officeDocument/2006/relationships/image" Target="../media/image156.png"/><Relationship Id="rId62" Type="http://schemas.openxmlformats.org/officeDocument/2006/relationships/image" Target="../media/image44.png"/><Relationship Id="rId83" Type="http://schemas.openxmlformats.org/officeDocument/2006/relationships/image" Target="../media/image103.png"/><Relationship Id="rId88" Type="http://schemas.openxmlformats.org/officeDocument/2006/relationships/image" Target="../media/image164.png"/><Relationship Id="rId111" Type="http://schemas.openxmlformats.org/officeDocument/2006/relationships/image" Target="../media/image87.png"/><Relationship Id="rId132" Type="http://schemas.openxmlformats.org/officeDocument/2006/relationships/image" Target="../media/image114.png"/><Relationship Id="rId153" Type="http://schemas.openxmlformats.org/officeDocument/2006/relationships/image" Target="../media/image30.png"/><Relationship Id="rId174" Type="http://schemas.openxmlformats.org/officeDocument/2006/relationships/image" Target="../media/image172.png"/><Relationship Id="rId179" Type="http://schemas.openxmlformats.org/officeDocument/2006/relationships/image" Target="../media/image177.png"/><Relationship Id="rId15" Type="http://schemas.openxmlformats.org/officeDocument/2006/relationships/image" Target="../media/image143.png"/><Relationship Id="rId36" Type="http://schemas.microsoft.com/office/2007/relationships/hdphoto" Target="../media/hdphoto18.wdp"/><Relationship Id="rId57" Type="http://schemas.openxmlformats.org/officeDocument/2006/relationships/image" Target="../media/image38.png"/><Relationship Id="rId106" Type="http://schemas.openxmlformats.org/officeDocument/2006/relationships/image" Target="../media/image75.png"/><Relationship Id="rId127" Type="http://schemas.openxmlformats.org/officeDocument/2006/relationships/image" Target="../media/image107.png"/><Relationship Id="rId10" Type="http://schemas.microsoft.com/office/2007/relationships/hdphoto" Target="../media/hdphoto5.wdp"/><Relationship Id="rId31" Type="http://schemas.openxmlformats.org/officeDocument/2006/relationships/image" Target="../media/image151.png"/><Relationship Id="rId52" Type="http://schemas.openxmlformats.org/officeDocument/2006/relationships/image" Target="../media/image37.png"/><Relationship Id="rId73" Type="http://schemas.openxmlformats.org/officeDocument/2006/relationships/image" Target="../media/image64.png"/><Relationship Id="rId78" Type="http://schemas.openxmlformats.org/officeDocument/2006/relationships/image" Target="../media/image93.png"/><Relationship Id="rId94" Type="http://schemas.openxmlformats.org/officeDocument/2006/relationships/image" Target="../media/image167.png"/><Relationship Id="rId99" Type="http://schemas.openxmlformats.org/officeDocument/2006/relationships/image" Target="../media/image47.png"/><Relationship Id="rId101" Type="http://schemas.openxmlformats.org/officeDocument/2006/relationships/image" Target="../media/image101.png"/><Relationship Id="rId122" Type="http://schemas.openxmlformats.org/officeDocument/2006/relationships/image" Target="../media/image13.png"/><Relationship Id="rId143" Type="http://schemas.openxmlformats.org/officeDocument/2006/relationships/image" Target="../media/image50.png"/><Relationship Id="rId148" Type="http://schemas.openxmlformats.org/officeDocument/2006/relationships/image" Target="../media/image23.png"/><Relationship Id="rId164" Type="http://schemas.openxmlformats.org/officeDocument/2006/relationships/image" Target="../media/image129.png"/><Relationship Id="rId169" Type="http://schemas.openxmlformats.org/officeDocument/2006/relationships/image" Target="../media/image134.png"/><Relationship Id="rId4" Type="http://schemas.microsoft.com/office/2007/relationships/hdphoto" Target="../media/hdphoto2.wdp"/><Relationship Id="rId9" Type="http://schemas.openxmlformats.org/officeDocument/2006/relationships/image" Target="../media/image140.png"/><Relationship Id="rId180" Type="http://schemas.openxmlformats.org/officeDocument/2006/relationships/image" Target="../media/image178.png"/><Relationship Id="rId26" Type="http://schemas.microsoft.com/office/2007/relationships/hdphoto" Target="../media/hdphoto13.wdp"/><Relationship Id="rId47" Type="http://schemas.openxmlformats.org/officeDocument/2006/relationships/image" Target="../media/image109.png"/><Relationship Id="rId68" Type="http://schemas.openxmlformats.org/officeDocument/2006/relationships/image" Target="../media/image46.png"/><Relationship Id="rId89" Type="http://schemas.microsoft.com/office/2007/relationships/hdphoto" Target="../media/hdphoto29.wdp"/><Relationship Id="rId112" Type="http://schemas.openxmlformats.org/officeDocument/2006/relationships/image" Target="../media/image88.png"/><Relationship Id="rId133" Type="http://schemas.openxmlformats.org/officeDocument/2006/relationships/image" Target="../media/image116.png"/><Relationship Id="rId154" Type="http://schemas.openxmlformats.org/officeDocument/2006/relationships/image" Target="../media/image31.png"/><Relationship Id="rId175" Type="http://schemas.openxmlformats.org/officeDocument/2006/relationships/image" Target="../media/image173.png"/><Relationship Id="rId16" Type="http://schemas.microsoft.com/office/2007/relationships/hdphoto" Target="../media/hdphoto8.wdp"/><Relationship Id="rId37" Type="http://schemas.openxmlformats.org/officeDocument/2006/relationships/image" Target="../media/image154.png"/><Relationship Id="rId58" Type="http://schemas.openxmlformats.org/officeDocument/2006/relationships/image" Target="../media/image39.png"/><Relationship Id="rId79" Type="http://schemas.openxmlformats.org/officeDocument/2006/relationships/image" Target="../media/image94.png"/><Relationship Id="rId102" Type="http://schemas.openxmlformats.org/officeDocument/2006/relationships/image" Target="../media/image63.png"/><Relationship Id="rId123" Type="http://schemas.openxmlformats.org/officeDocument/2006/relationships/image" Target="../media/image14.png"/><Relationship Id="rId144" Type="http://schemas.openxmlformats.org/officeDocument/2006/relationships/image" Target="../media/image19.png"/><Relationship Id="rId90" Type="http://schemas.openxmlformats.org/officeDocument/2006/relationships/image" Target="../media/image165.png"/><Relationship Id="rId165" Type="http://schemas.openxmlformats.org/officeDocument/2006/relationships/image" Target="../media/image130.png"/><Relationship Id="rId27" Type="http://schemas.openxmlformats.org/officeDocument/2006/relationships/image" Target="../media/image149.png"/><Relationship Id="rId48" Type="http://schemas.openxmlformats.org/officeDocument/2006/relationships/image" Target="../media/image157.png"/><Relationship Id="rId69" Type="http://schemas.openxmlformats.org/officeDocument/2006/relationships/image" Target="../media/image56.png"/><Relationship Id="rId113" Type="http://schemas.openxmlformats.org/officeDocument/2006/relationships/image" Target="../media/image89.png"/><Relationship Id="rId134" Type="http://schemas.openxmlformats.org/officeDocument/2006/relationships/image" Target="../media/image115.png"/><Relationship Id="rId80" Type="http://schemas.openxmlformats.org/officeDocument/2006/relationships/image" Target="../media/image95.png"/><Relationship Id="rId155" Type="http://schemas.openxmlformats.org/officeDocument/2006/relationships/image" Target="../media/image32.png"/><Relationship Id="rId176" Type="http://schemas.openxmlformats.org/officeDocument/2006/relationships/image" Target="../media/image174.png"/><Relationship Id="rId17" Type="http://schemas.openxmlformats.org/officeDocument/2006/relationships/image" Target="../media/image144.png"/><Relationship Id="rId38" Type="http://schemas.microsoft.com/office/2007/relationships/hdphoto" Target="../media/hdphoto19.wdp"/><Relationship Id="rId59" Type="http://schemas.openxmlformats.org/officeDocument/2006/relationships/image" Target="../media/image40.png"/><Relationship Id="rId103" Type="http://schemas.openxmlformats.org/officeDocument/2006/relationships/image" Target="../media/image72.png"/><Relationship Id="rId124" Type="http://schemas.openxmlformats.org/officeDocument/2006/relationships/image" Target="../media/image15.png"/><Relationship Id="rId70" Type="http://schemas.openxmlformats.org/officeDocument/2006/relationships/image" Target="../media/image57.png"/><Relationship Id="rId91" Type="http://schemas.microsoft.com/office/2007/relationships/hdphoto" Target="../media/hdphoto30.wdp"/><Relationship Id="rId145" Type="http://schemas.openxmlformats.org/officeDocument/2006/relationships/image" Target="../media/image20.png"/><Relationship Id="rId166" Type="http://schemas.openxmlformats.org/officeDocument/2006/relationships/image" Target="../media/image131.png"/><Relationship Id="rId1" Type="http://schemas.openxmlformats.org/officeDocument/2006/relationships/image" Target="../media/image136.png"/><Relationship Id="rId28" Type="http://schemas.microsoft.com/office/2007/relationships/hdphoto" Target="../media/hdphoto14.wdp"/><Relationship Id="rId49" Type="http://schemas.microsoft.com/office/2007/relationships/hdphoto" Target="../media/hdphoto22.wdp"/><Relationship Id="rId11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9.png"/><Relationship Id="rId2" Type="http://schemas.openxmlformats.org/officeDocument/2006/relationships/image" Target="../media/image198.png"/><Relationship Id="rId1" Type="http://schemas.openxmlformats.org/officeDocument/2006/relationships/image" Target="../media/image197.png"/><Relationship Id="rId5" Type="http://schemas.openxmlformats.org/officeDocument/2006/relationships/image" Target="../media/image201.png"/><Relationship Id="rId4" Type="http://schemas.openxmlformats.org/officeDocument/2006/relationships/image" Target="../media/image20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60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43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54880"/>
          <a:ext cx="182880" cy="1828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106680</xdr:rowOff>
    </xdr:from>
    <xdr:to>
      <xdr:col>2</xdr:col>
      <xdr:colOff>0</xdr:colOff>
      <xdr:row>4</xdr:row>
      <xdr:rowOff>106680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55320"/>
          <a:ext cx="182880" cy="18288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0</xdr:colOff>
      <xdr:row>3</xdr:row>
      <xdr:rowOff>99060</xdr:rowOff>
    </xdr:from>
    <xdr:ext cx="182880" cy="18288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647700"/>
          <a:ext cx="182880" cy="18288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548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731520"/>
          <a:ext cx="182880" cy="182880"/>
        </a:xfrm>
        <a:prstGeom prst="rect">
          <a:avLst/>
        </a:prstGeom>
      </xdr:spPr>
    </xdr:pic>
    <xdr:clientData/>
  </xdr:twoCellAnchor>
  <xdr:oneCellAnchor>
    <xdr:from>
      <xdr:col>10</xdr:col>
      <xdr:colOff>2880</xdr:colOff>
      <xdr:row>3</xdr:row>
      <xdr:rowOff>106680</xdr:rowOff>
    </xdr:from>
    <xdr:ext cx="180000" cy="180000"/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67560" y="655320"/>
          <a:ext cx="180000" cy="180000"/>
        </a:xfrm>
        <a:prstGeom prst="rect">
          <a:avLst/>
        </a:prstGeom>
        <a:noFill/>
        <a:ln w="9525" cap="sq" cmpd="sng">
          <a:noFill/>
          <a:prstDash val="solid"/>
          <a:round/>
        </a:ln>
        <a:effectLst/>
      </xdr:spPr>
    </xdr:pic>
    <xdr:clientData/>
  </xdr:oneCellAnchor>
  <xdr:twoCellAnchor editAs="oneCell">
    <xdr:from>
      <xdr:col>14</xdr:col>
      <xdr:colOff>0</xdr:colOff>
      <xdr:row>3</xdr:row>
      <xdr:rowOff>83820</xdr:rowOff>
    </xdr:from>
    <xdr:to>
      <xdr:col>15</xdr:col>
      <xdr:colOff>0</xdr:colOff>
      <xdr:row>4</xdr:row>
      <xdr:rowOff>83820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632460"/>
          <a:ext cx="182880" cy="18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105508</xdr:rowOff>
    </xdr:from>
    <xdr:to>
      <xdr:col>1</xdr:col>
      <xdr:colOff>181707</xdr:colOff>
      <xdr:row>9</xdr:row>
      <xdr:rowOff>105507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68548"/>
          <a:ext cx="181707" cy="18287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</xdr:row>
      <xdr:rowOff>106680</xdr:rowOff>
    </xdr:from>
    <xdr:ext cx="182880" cy="182880"/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569720"/>
          <a:ext cx="182880" cy="18288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8</xdr:row>
      <xdr:rowOff>106680</xdr:rowOff>
    </xdr:from>
    <xdr:ext cx="182880" cy="182880"/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4680" y="156972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8</xdr:row>
      <xdr:rowOff>105508</xdr:rowOff>
    </xdr:from>
    <xdr:to>
      <xdr:col>14</xdr:col>
      <xdr:colOff>181707</xdr:colOff>
      <xdr:row>9</xdr:row>
      <xdr:rowOff>105507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1568548"/>
          <a:ext cx="181707" cy="18287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97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1097280"/>
          <a:ext cx="182880" cy="18288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6</xdr:row>
      <xdr:rowOff>0</xdr:rowOff>
    </xdr:from>
    <xdr:ext cx="182880" cy="182880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097280"/>
          <a:ext cx="182880" cy="18288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6</xdr:row>
      <xdr:rowOff>0</xdr:rowOff>
    </xdr:from>
    <xdr:ext cx="182880" cy="182880"/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4680" y="10972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1097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1280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914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76200</xdr:rowOff>
    </xdr:from>
    <xdr:to>
      <xdr:col>2</xdr:col>
      <xdr:colOff>0</xdr:colOff>
      <xdr:row>11</xdr:row>
      <xdr:rowOff>76200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99060</xdr:rowOff>
    </xdr:from>
    <xdr:to>
      <xdr:col>15</xdr:col>
      <xdr:colOff>0</xdr:colOff>
      <xdr:row>11</xdr:row>
      <xdr:rowOff>99060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19278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99060</xdr:rowOff>
    </xdr:from>
    <xdr:to>
      <xdr:col>4</xdr:col>
      <xdr:colOff>0</xdr:colOff>
      <xdr:row>11</xdr:row>
      <xdr:rowOff>99060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9278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99060</xdr:rowOff>
    </xdr:from>
    <xdr:to>
      <xdr:col>11</xdr:col>
      <xdr:colOff>0</xdr:colOff>
      <xdr:row>11</xdr:row>
      <xdr:rowOff>99060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4680" y="19278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106680</xdr:rowOff>
    </xdr:from>
    <xdr:to>
      <xdr:col>15</xdr:col>
      <xdr:colOff>0</xdr:colOff>
      <xdr:row>17</xdr:row>
      <xdr:rowOff>106680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3032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99060</xdr:rowOff>
    </xdr:from>
    <xdr:to>
      <xdr:col>4</xdr:col>
      <xdr:colOff>0</xdr:colOff>
      <xdr:row>17</xdr:row>
      <xdr:rowOff>99060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0251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106680</xdr:rowOff>
    </xdr:from>
    <xdr:to>
      <xdr:col>2</xdr:col>
      <xdr:colOff>0</xdr:colOff>
      <xdr:row>17</xdr:row>
      <xdr:rowOff>106680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32760"/>
          <a:ext cx="182880" cy="18288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12</xdr:row>
      <xdr:rowOff>91440</xdr:rowOff>
    </xdr:from>
    <xdr:ext cx="182880" cy="182880"/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2286000"/>
          <a:ext cx="182880" cy="18288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0</xdr:colOff>
      <xdr:row>12</xdr:row>
      <xdr:rowOff>91440</xdr:rowOff>
    </xdr:from>
    <xdr:to>
      <xdr:col>2</xdr:col>
      <xdr:colOff>0</xdr:colOff>
      <xdr:row>13</xdr:row>
      <xdr:rowOff>91440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</xdr:row>
      <xdr:rowOff>99060</xdr:rowOff>
    </xdr:from>
    <xdr:to>
      <xdr:col>15</xdr:col>
      <xdr:colOff>0</xdr:colOff>
      <xdr:row>13</xdr:row>
      <xdr:rowOff>99060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22936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83820</xdr:rowOff>
    </xdr:from>
    <xdr:to>
      <xdr:col>2</xdr:col>
      <xdr:colOff>0</xdr:colOff>
      <xdr:row>19</xdr:row>
      <xdr:rowOff>83820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3756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</xdr:row>
      <xdr:rowOff>99060</xdr:rowOff>
    </xdr:from>
    <xdr:to>
      <xdr:col>15</xdr:col>
      <xdr:colOff>0</xdr:colOff>
      <xdr:row>19</xdr:row>
      <xdr:rowOff>99060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3390900"/>
          <a:ext cx="182880" cy="18288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18</xdr:row>
      <xdr:rowOff>106680</xdr:rowOff>
    </xdr:from>
    <xdr:ext cx="182880" cy="182880"/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39852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3474720"/>
          <a:ext cx="182880" cy="182880"/>
        </a:xfrm>
        <a:prstGeom prst="rect">
          <a:avLst/>
        </a:prstGeom>
      </xdr:spPr>
    </xdr:pic>
    <xdr:clientData/>
  </xdr:twoCellAnchor>
  <xdr:oneCellAnchor>
    <xdr:from>
      <xdr:col>3</xdr:col>
      <xdr:colOff>15240</xdr:colOff>
      <xdr:row>14</xdr:row>
      <xdr:rowOff>99060</xdr:rowOff>
    </xdr:from>
    <xdr:ext cx="182880" cy="182880"/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880" y="26593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14</xdr:row>
      <xdr:rowOff>83820</xdr:rowOff>
    </xdr:from>
    <xdr:to>
      <xdr:col>2</xdr:col>
      <xdr:colOff>0</xdr:colOff>
      <xdr:row>15</xdr:row>
      <xdr:rowOff>83820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441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</xdr:row>
      <xdr:rowOff>76200</xdr:rowOff>
    </xdr:from>
    <xdr:to>
      <xdr:col>15</xdr:col>
      <xdr:colOff>0</xdr:colOff>
      <xdr:row>15</xdr:row>
      <xdr:rowOff>76200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2636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106680</xdr:rowOff>
    </xdr:from>
    <xdr:to>
      <xdr:col>6</xdr:col>
      <xdr:colOff>0</xdr:colOff>
      <xdr:row>15</xdr:row>
      <xdr:rowOff>106680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2667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53340</xdr:rowOff>
    </xdr:from>
    <xdr:to>
      <xdr:col>2</xdr:col>
      <xdr:colOff>0</xdr:colOff>
      <xdr:row>22</xdr:row>
      <xdr:rowOff>53340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2595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</xdr:row>
      <xdr:rowOff>83820</xdr:rowOff>
    </xdr:from>
    <xdr:to>
      <xdr:col>15</xdr:col>
      <xdr:colOff>0</xdr:colOff>
      <xdr:row>22</xdr:row>
      <xdr:rowOff>83820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42900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54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4754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106680</xdr:rowOff>
    </xdr:from>
    <xdr:to>
      <xdr:col>2</xdr:col>
      <xdr:colOff>0</xdr:colOff>
      <xdr:row>33</xdr:row>
      <xdr:rowOff>106680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044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114300</xdr:rowOff>
    </xdr:from>
    <xdr:to>
      <xdr:col>2</xdr:col>
      <xdr:colOff>0</xdr:colOff>
      <xdr:row>37</xdr:row>
      <xdr:rowOff>114300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835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</xdr:row>
      <xdr:rowOff>83820</xdr:rowOff>
    </xdr:from>
    <xdr:to>
      <xdr:col>15</xdr:col>
      <xdr:colOff>0</xdr:colOff>
      <xdr:row>33</xdr:row>
      <xdr:rowOff>83820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50215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36</xdr:row>
      <xdr:rowOff>68580</xdr:rowOff>
    </xdr:from>
    <xdr:to>
      <xdr:col>15</xdr:col>
      <xdr:colOff>0</xdr:colOff>
      <xdr:row>37</xdr:row>
      <xdr:rowOff>68580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57378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583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15</xdr:col>
      <xdr:colOff>0</xdr:colOff>
      <xdr:row>42</xdr:row>
      <xdr:rowOff>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6583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68580</xdr:rowOff>
    </xdr:from>
    <xdr:to>
      <xdr:col>2</xdr:col>
      <xdr:colOff>0</xdr:colOff>
      <xdr:row>46</xdr:row>
      <xdr:rowOff>68580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837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45</xdr:row>
      <xdr:rowOff>83820</xdr:rowOff>
    </xdr:from>
    <xdr:to>
      <xdr:col>15</xdr:col>
      <xdr:colOff>0</xdr:colOff>
      <xdr:row>46</xdr:row>
      <xdr:rowOff>83820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73990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68580</xdr:rowOff>
    </xdr:from>
    <xdr:to>
      <xdr:col>2</xdr:col>
      <xdr:colOff>0</xdr:colOff>
      <xdr:row>35</xdr:row>
      <xdr:rowOff>68580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721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68580</xdr:rowOff>
    </xdr:from>
    <xdr:to>
      <xdr:col>2</xdr:col>
      <xdr:colOff>0</xdr:colOff>
      <xdr:row>39</xdr:row>
      <xdr:rowOff>68580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1036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</xdr:row>
      <xdr:rowOff>106680</xdr:rowOff>
    </xdr:from>
    <xdr:to>
      <xdr:col>15</xdr:col>
      <xdr:colOff>0</xdr:colOff>
      <xdr:row>35</xdr:row>
      <xdr:rowOff>106680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5410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60960</xdr:rowOff>
    </xdr:from>
    <xdr:to>
      <xdr:col>15</xdr:col>
      <xdr:colOff>0</xdr:colOff>
      <xdr:row>39</xdr:row>
      <xdr:rowOff>60960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6096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229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8229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83820</xdr:rowOff>
    </xdr:from>
    <xdr:to>
      <xdr:col>2</xdr:col>
      <xdr:colOff>0</xdr:colOff>
      <xdr:row>29</xdr:row>
      <xdr:rowOff>83820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791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961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8961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</xdr:row>
      <xdr:rowOff>76200</xdr:rowOff>
    </xdr:from>
    <xdr:to>
      <xdr:col>15</xdr:col>
      <xdr:colOff>0</xdr:colOff>
      <xdr:row>29</xdr:row>
      <xdr:rowOff>76200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" y="8671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17</xdr:col>
      <xdr:colOff>106680</xdr:colOff>
      <xdr:row>4</xdr:row>
      <xdr:rowOff>30480</xdr:rowOff>
    </xdr:from>
    <xdr:to>
      <xdr:col>17</xdr:col>
      <xdr:colOff>289560</xdr:colOff>
      <xdr:row>5</xdr:row>
      <xdr:rowOff>30480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6360" y="762000"/>
          <a:ext cx="182880" cy="1828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33</xdr:row>
      <xdr:rowOff>0</xdr:rowOff>
    </xdr:from>
    <xdr:to>
      <xdr:col>9</xdr:col>
      <xdr:colOff>0</xdr:colOff>
      <xdr:row>34</xdr:row>
      <xdr:rowOff>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548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48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76200</xdr:rowOff>
    </xdr:from>
    <xdr:to>
      <xdr:col>2</xdr:col>
      <xdr:colOff>0</xdr:colOff>
      <xdr:row>8</xdr:row>
      <xdr:rowOff>76200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39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68580</xdr:rowOff>
    </xdr:from>
    <xdr:to>
      <xdr:col>9</xdr:col>
      <xdr:colOff>0</xdr:colOff>
      <xdr:row>8</xdr:row>
      <xdr:rowOff>68580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15316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731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914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097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280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83820</xdr:rowOff>
    </xdr:from>
    <xdr:to>
      <xdr:col>2</xdr:col>
      <xdr:colOff>0</xdr:colOff>
      <xdr:row>35</xdr:row>
      <xdr:rowOff>83820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441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99060</xdr:rowOff>
    </xdr:from>
    <xdr:to>
      <xdr:col>9</xdr:col>
      <xdr:colOff>0</xdr:colOff>
      <xdr:row>35</xdr:row>
      <xdr:rowOff>99060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26593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0</xdr:colOff>
      <xdr:row>22</xdr:row>
      <xdr:rowOff>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4754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035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217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400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583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9</xdr:col>
      <xdr:colOff>0</xdr:colOff>
      <xdr:row>38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20" y="6035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0</xdr:colOff>
      <xdr:row>39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20" y="6217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20" y="6400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20" y="6583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76200</xdr:rowOff>
    </xdr:from>
    <xdr:to>
      <xdr:col>2</xdr:col>
      <xdr:colOff>0</xdr:colOff>
      <xdr:row>30</xdr:row>
      <xdr:rowOff>76200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79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83820</xdr:rowOff>
    </xdr:from>
    <xdr:to>
      <xdr:col>9</xdr:col>
      <xdr:colOff>0</xdr:colOff>
      <xdr:row>30</xdr:row>
      <xdr:rowOff>83820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080" y="53873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766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0</xdr:colOff>
      <xdr:row>37</xdr:row>
      <xdr:rowOff>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080" y="6766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949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080" y="6949440"/>
          <a:ext cx="182880" cy="182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0</xdr:colOff>
          <xdr:row>5</xdr:row>
          <xdr:rowOff>0</xdr:rowOff>
        </xdr:from>
        <xdr:ext cx="190500" cy="182880"/>
        <xdr:pic>
          <xdr:nvPicPr>
            <xdr:cNvPr id="92" name="Рисунок 91"/>
            <xdr:cNvPicPr>
              <a:picLocks noChangeAspect="1"/>
              <a:extLst>
                <a:ext uri="{84589F7E-364E-4C9E-8A38-B11213B215E9}">
                  <a14:cameraTool cellRange="стихии0" spid="_x0000_s4890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-2458" t="-3332" r="2458" b="6101"/>
            <a:stretch>
              <a:fillRect/>
            </a:stretch>
          </xdr:blipFill>
          <xdr:spPr>
            <a:xfrm>
              <a:off x="5905500" y="76200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6</xdr:row>
          <xdr:rowOff>0</xdr:rowOff>
        </xdr:from>
        <xdr:ext cx="190500" cy="182880"/>
        <xdr:pic>
          <xdr:nvPicPr>
            <xdr:cNvPr id="96" name="Рисунок 95"/>
            <xdr:cNvPicPr>
              <a:picLocks noChangeAspect="1"/>
              <a:extLst>
                <a:ext uri="{84589F7E-364E-4C9E-8A38-B11213B215E9}">
                  <a14:cameraTool cellRange="эффекты3" spid="_x0000_s48907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2301240" y="112776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4</xdr:row>
          <xdr:rowOff>0</xdr:rowOff>
        </xdr:from>
        <xdr:ext cx="190500" cy="182880"/>
        <xdr:pic>
          <xdr:nvPicPr>
            <xdr:cNvPr id="97" name="Рисунок 96"/>
            <xdr:cNvPicPr>
              <a:picLocks noChangeAspect="1"/>
              <a:extLst>
                <a:ext uri="{84589F7E-364E-4C9E-8A38-B11213B215E9}">
                  <a14:cameraTool cellRange="эффекты1" spid="_x0000_s48908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2301240" y="76200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4</xdr:row>
          <xdr:rowOff>0</xdr:rowOff>
        </xdr:from>
        <xdr:ext cx="190500" cy="182880"/>
        <xdr:pic>
          <xdr:nvPicPr>
            <xdr:cNvPr id="98" name="Рисунок 97"/>
            <xdr:cNvPicPr>
              <a:picLocks noChangeAspect="1"/>
              <a:extLst>
                <a:ext uri="{84589F7E-364E-4C9E-8A38-B11213B215E9}">
                  <a14:cameraTool cellRange="эффекты4" spid="_x0000_s4890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10119360" y="76200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5</xdr:row>
          <xdr:rowOff>0</xdr:rowOff>
        </xdr:from>
        <xdr:ext cx="190500" cy="182880"/>
        <xdr:pic>
          <xdr:nvPicPr>
            <xdr:cNvPr id="99" name="Рисунок 98"/>
            <xdr:cNvPicPr>
              <a:picLocks noChangeAspect="1"/>
              <a:extLst>
                <a:ext uri="{84589F7E-364E-4C9E-8A38-B11213B215E9}">
                  <a14:cameraTool cellRange="эффекты5" spid="_x0000_s48910"/>
                </a:ext>
              </a:extLst>
            </xdr:cNvPicPr>
          </xdr:nvPicPr>
          <xdr:blipFill rotWithShape="1">
            <a:blip xmlns:r="http://schemas.openxmlformats.org/officeDocument/2006/relationships" r:embed="rId2">
              <a:lum/>
            </a:blip>
            <a:srcRect l="-2458" t="-3332" r="2458" b="6101"/>
            <a:stretch>
              <a:fillRect/>
            </a:stretch>
          </xdr:blipFill>
          <xdr:spPr>
            <a:xfrm>
              <a:off x="10119360" y="944880"/>
              <a:ext cx="190500" cy="182880"/>
            </a:xfrm>
            <a:prstGeom prst="rect">
              <a:avLst/>
            </a:prstGeom>
            <a:noFill/>
            <a:ln w="3175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6</xdr:row>
          <xdr:rowOff>0</xdr:rowOff>
        </xdr:from>
        <xdr:ext cx="190500" cy="182880"/>
        <xdr:pic>
          <xdr:nvPicPr>
            <xdr:cNvPr id="100" name="Рисунок 99"/>
            <xdr:cNvPicPr>
              <a:picLocks noChangeAspect="1"/>
              <a:extLst>
                <a:ext uri="{84589F7E-364E-4C9E-8A38-B11213B215E9}">
                  <a14:cameraTool cellRange="эффекты6" spid="_x0000_s48911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10119360" y="112776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5</xdr:row>
          <xdr:rowOff>0</xdr:rowOff>
        </xdr:from>
        <xdr:ext cx="190500" cy="182880"/>
        <xdr:pic>
          <xdr:nvPicPr>
            <xdr:cNvPr id="101" name="Рисунок 100"/>
            <xdr:cNvPicPr>
              <a:picLocks noChangeAspect="1"/>
              <a:extLst>
                <a:ext uri="{84589F7E-364E-4C9E-8A38-B11213B215E9}">
                  <a14:cameraTool cellRange="эффекты2" spid="_x0000_s48912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2301240" y="94488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8112</xdr:colOff>
          <xdr:row>13</xdr:row>
          <xdr:rowOff>11002</xdr:rowOff>
        </xdr:from>
        <xdr:ext cx="182388" cy="182478"/>
        <xdr:pic>
          <xdr:nvPicPr>
            <xdr:cNvPr id="9" name="Рисунок 8"/>
            <xdr:cNvPicPr>
              <a:picLocks noChangeAspect="1"/>
              <a:extLst>
                <a:ext uri="{84589F7E-364E-4C9E-8A38-B11213B215E9}">
                  <a14:cameraTool cellRange="навыки0" spid="_x0000_s48913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088872" y="2083642"/>
              <a:ext cx="182388" cy="182478"/>
            </a:xfrm>
            <a:prstGeom prst="rect">
              <a:avLst/>
            </a:prstGeom>
            <a:ln w="0" cmpd="sng">
              <a:noFill/>
            </a:ln>
            <a:effectLst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12</xdr:row>
          <xdr:rowOff>0</xdr:rowOff>
        </xdr:from>
        <xdr:ext cx="190500" cy="182880"/>
        <xdr:pic>
          <xdr:nvPicPr>
            <xdr:cNvPr id="11" name="Рисунок 10"/>
            <xdr:cNvPicPr>
              <a:picLocks noChangeAspect="1"/>
              <a:extLst>
                <a:ext uri="{84589F7E-364E-4C9E-8A38-B11213B215E9}">
                  <a14:cameraTool cellRange="эффекты7" spid="_x0000_s4891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10469880" y="76200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13</xdr:row>
          <xdr:rowOff>0</xdr:rowOff>
        </xdr:from>
        <xdr:ext cx="190500" cy="182880"/>
        <xdr:pic>
          <xdr:nvPicPr>
            <xdr:cNvPr id="12" name="Рисунок 11"/>
            <xdr:cNvPicPr>
              <a:picLocks noChangeAspect="1"/>
              <a:extLst>
                <a:ext uri="{84589F7E-364E-4C9E-8A38-B11213B215E9}">
                  <a14:cameraTool cellRange="эффекты8" spid="_x0000_s48915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10469880" y="952500"/>
              <a:ext cx="190500" cy="182880"/>
            </a:xfrm>
            <a:prstGeom prst="rect">
              <a:avLst/>
            </a:prstGeom>
            <a:noFill/>
            <a:ln w="3175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14</xdr:row>
          <xdr:rowOff>0</xdr:rowOff>
        </xdr:from>
        <xdr:ext cx="190500" cy="182880"/>
        <xdr:pic>
          <xdr:nvPicPr>
            <xdr:cNvPr id="13" name="Рисунок 12"/>
            <xdr:cNvPicPr>
              <a:picLocks noChangeAspect="1"/>
              <a:extLst>
                <a:ext uri="{84589F7E-364E-4C9E-8A38-B11213B215E9}">
                  <a14:cameraTool cellRange="эффекты9" spid="_x0000_s48916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-2458" t="-3332" r="2458" b="6101"/>
            <a:stretch>
              <a:fillRect/>
            </a:stretch>
          </xdr:blipFill>
          <xdr:spPr>
            <a:xfrm>
              <a:off x="10469880" y="1150620"/>
              <a:ext cx="190500" cy="182880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16</xdr:row>
          <xdr:rowOff>0</xdr:rowOff>
        </xdr:from>
        <xdr:ext cx="179294" cy="179294"/>
        <xdr:pic>
          <xdr:nvPicPr>
            <xdr:cNvPr id="17" name="Рисунок 16"/>
            <xdr:cNvPicPr>
              <a:picLocks noChangeAspect="1"/>
              <a:extLst>
                <a:ext uri="{84589F7E-364E-4C9E-8A38-B11213B215E9}">
                  <a14:cameraTool cellRange="эффектыдоп1" spid="_x0000_s48917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-2458" t="-3332" r="2458" b="6101"/>
            <a:stretch>
              <a:fillRect/>
            </a:stretch>
          </xdr:blipFill>
          <xdr:spPr>
            <a:xfrm flipH="1">
              <a:off x="10584180" y="2987040"/>
              <a:ext cx="179294" cy="179294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17</xdr:row>
          <xdr:rowOff>0</xdr:rowOff>
        </xdr:from>
        <xdr:ext cx="179294" cy="179294"/>
        <xdr:pic>
          <xdr:nvPicPr>
            <xdr:cNvPr id="21" name="Рисунок 20"/>
            <xdr:cNvPicPr>
              <a:picLocks noChangeAspect="1"/>
              <a:extLst>
                <a:ext uri="{84589F7E-364E-4C9E-8A38-B11213B215E9}">
                  <a14:cameraTool cellRange="эффектыдоп2" spid="_x0000_s48918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-2458" t="-3332" r="2458" b="6101"/>
            <a:stretch>
              <a:fillRect/>
            </a:stretch>
          </xdr:blipFill>
          <xdr:spPr>
            <a:xfrm flipH="1">
              <a:off x="10584180" y="3169920"/>
              <a:ext cx="179294" cy="179294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18</xdr:row>
          <xdr:rowOff>0</xdr:rowOff>
        </xdr:from>
        <xdr:ext cx="179294" cy="179294"/>
        <xdr:pic>
          <xdr:nvPicPr>
            <xdr:cNvPr id="22" name="Рисунок 21"/>
            <xdr:cNvPicPr>
              <a:picLocks noChangeAspect="1"/>
              <a:extLst>
                <a:ext uri="{84589F7E-364E-4C9E-8A38-B11213B215E9}">
                  <a14:cameraTool cellRange="эффектыдоп3" spid="_x0000_s48919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-2458" t="-3332" r="2458" b="6101"/>
            <a:stretch>
              <a:fillRect/>
            </a:stretch>
          </xdr:blipFill>
          <xdr:spPr>
            <a:xfrm flipH="1">
              <a:off x="10584180" y="3352800"/>
              <a:ext cx="179294" cy="179294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19</xdr:row>
          <xdr:rowOff>0</xdr:rowOff>
        </xdr:from>
        <xdr:ext cx="179294" cy="179294"/>
        <xdr:pic>
          <xdr:nvPicPr>
            <xdr:cNvPr id="23" name="Рисунок 22"/>
            <xdr:cNvPicPr>
              <a:picLocks noChangeAspect="1"/>
              <a:extLst>
                <a:ext uri="{84589F7E-364E-4C9E-8A38-B11213B215E9}">
                  <a14:cameraTool cellRange="эффектыдоп4" spid="_x0000_s48920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-2458" t="-3332" r="2458" b="6101"/>
            <a:stretch>
              <a:fillRect/>
            </a:stretch>
          </xdr:blipFill>
          <xdr:spPr>
            <a:xfrm flipH="1">
              <a:off x="10584180" y="3535680"/>
              <a:ext cx="179294" cy="179294"/>
            </a:xfrm>
            <a:prstGeom prst="rect">
              <a:avLst/>
            </a:prstGeom>
            <a:ln w="0" cmpd="sng">
              <a:noFill/>
            </a:ln>
            <a:effectLst>
              <a:outerShdw blurRad="50800" dist="38100" dir="2700000" algn="tl" rotWithShape="0">
                <a:schemeClr val="bg1">
                  <a:alpha val="40000"/>
                </a:schemeClr>
              </a:outerShdw>
              <a:softEdge rad="12700"/>
            </a:effectLst>
          </xdr:spPr>
        </xdr:pic>
        <xdr:clientData/>
      </xdr:one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14069</xdr:colOff>
      <xdr:row>1</xdr:row>
      <xdr:rowOff>15240</xdr:rowOff>
    </xdr:from>
    <xdr:ext cx="168811" cy="1828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7829" y="205740"/>
          <a:ext cx="168811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</xdr:row>
      <xdr:rowOff>0</xdr:rowOff>
    </xdr:from>
    <xdr:ext cx="182880" cy="18288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57912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182880" cy="182880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149352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182880" cy="18288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112776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14069</xdr:colOff>
      <xdr:row>5</xdr:row>
      <xdr:rowOff>0</xdr:rowOff>
    </xdr:from>
    <xdr:ext cx="168811" cy="182880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7829" y="944880"/>
          <a:ext cx="168811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</xdr:row>
      <xdr:rowOff>0</xdr:rowOff>
    </xdr:from>
    <xdr:ext cx="182880" cy="182880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131064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</xdr:row>
      <xdr:rowOff>0</xdr:rowOff>
    </xdr:from>
    <xdr:ext cx="182880" cy="182880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76200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</xdr:row>
      <xdr:rowOff>0</xdr:rowOff>
    </xdr:from>
    <xdr:ext cx="182880" cy="182880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760" y="167640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14069</xdr:colOff>
      <xdr:row>2</xdr:row>
      <xdr:rowOff>7620</xdr:rowOff>
    </xdr:from>
    <xdr:ext cx="168811" cy="182880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7829" y="396240"/>
          <a:ext cx="168811" cy="182880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1</xdr:row>
      <xdr:rowOff>15240</xdr:rowOff>
    </xdr:from>
    <xdr:to>
      <xdr:col>7</xdr:col>
      <xdr:colOff>0</xdr:colOff>
      <xdr:row>2</xdr:row>
      <xdr:rowOff>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0" y="198120"/>
          <a:ext cx="182880" cy="16764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2560" y="579120"/>
          <a:ext cx="60960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182880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2560" y="388620"/>
          <a:ext cx="60960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2560" y="762000"/>
          <a:ext cx="609600" cy="18288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7</xdr:col>
      <xdr:colOff>7620</xdr:colOff>
      <xdr:row>6</xdr:row>
      <xdr:rowOff>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0" y="914400"/>
          <a:ext cx="190500" cy="182880"/>
        </a:xfrm>
        <a:prstGeom prst="rect">
          <a:avLst/>
        </a:prstGeom>
      </xdr:spPr>
    </xdr:pic>
    <xdr:clientData/>
  </xdr:twoCellAnchor>
  <xdr:oneCellAnchor>
    <xdr:from>
      <xdr:col>6</xdr:col>
      <xdr:colOff>14069</xdr:colOff>
      <xdr:row>6</xdr:row>
      <xdr:rowOff>0</xdr:rowOff>
    </xdr:from>
    <xdr:ext cx="168811" cy="182880"/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389" y="10972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</xdr:row>
      <xdr:rowOff>0</xdr:rowOff>
    </xdr:from>
    <xdr:ext cx="182880" cy="182880"/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828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</xdr:row>
      <xdr:rowOff>0</xdr:rowOff>
    </xdr:from>
    <xdr:ext cx="182880" cy="182880"/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657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12</xdr:row>
      <xdr:rowOff>0</xdr:rowOff>
    </xdr:from>
    <xdr:ext cx="182880" cy="182880"/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21945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</xdr:row>
      <xdr:rowOff>0</xdr:rowOff>
    </xdr:from>
    <xdr:ext cx="182880" cy="182880"/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5486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13</xdr:row>
      <xdr:rowOff>0</xdr:rowOff>
    </xdr:from>
    <xdr:ext cx="182880" cy="182880"/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23774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</xdr:row>
      <xdr:rowOff>0</xdr:rowOff>
    </xdr:from>
    <xdr:ext cx="182880" cy="182880"/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315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</xdr:row>
      <xdr:rowOff>0</xdr:rowOff>
    </xdr:from>
    <xdr:ext cx="182880" cy="182880"/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9144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7</xdr:row>
      <xdr:rowOff>0</xdr:rowOff>
    </xdr:from>
    <xdr:ext cx="182880" cy="182880"/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2801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8</xdr:row>
      <xdr:rowOff>0</xdr:rowOff>
    </xdr:from>
    <xdr:ext cx="182880" cy="182880"/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4630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10</xdr:row>
      <xdr:rowOff>0</xdr:rowOff>
    </xdr:from>
    <xdr:ext cx="182880" cy="182880"/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8288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9</xdr:row>
      <xdr:rowOff>0</xdr:rowOff>
    </xdr:from>
    <xdr:ext cx="182880" cy="182880"/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6459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</xdr:row>
      <xdr:rowOff>0</xdr:rowOff>
    </xdr:from>
    <xdr:ext cx="182880" cy="182880"/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972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14</xdr:row>
      <xdr:rowOff>0</xdr:rowOff>
    </xdr:from>
    <xdr:ext cx="182880" cy="182880"/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25603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19</xdr:row>
      <xdr:rowOff>0</xdr:rowOff>
    </xdr:from>
    <xdr:ext cx="182880" cy="182880"/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4747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24</xdr:row>
      <xdr:rowOff>0</xdr:rowOff>
    </xdr:from>
    <xdr:ext cx="182880" cy="182880"/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3891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21</xdr:row>
      <xdr:rowOff>0</xdr:rowOff>
    </xdr:from>
    <xdr:ext cx="182880" cy="182880"/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8404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18</xdr:row>
      <xdr:rowOff>7620</xdr:rowOff>
    </xdr:from>
    <xdr:ext cx="182880" cy="182880"/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2994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23</xdr:row>
      <xdr:rowOff>0</xdr:rowOff>
    </xdr:from>
    <xdr:ext cx="182880" cy="182880"/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2062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22</xdr:row>
      <xdr:rowOff>0</xdr:rowOff>
    </xdr:from>
    <xdr:ext cx="182880" cy="182880"/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0233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17</xdr:row>
      <xdr:rowOff>15240</xdr:rowOff>
    </xdr:from>
    <xdr:ext cx="182880" cy="182880"/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1242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20</xdr:row>
      <xdr:rowOff>0</xdr:rowOff>
    </xdr:from>
    <xdr:ext cx="182880" cy="182880"/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6576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28</xdr:row>
      <xdr:rowOff>0</xdr:rowOff>
    </xdr:from>
    <xdr:ext cx="182880" cy="182880"/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51206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29</xdr:row>
      <xdr:rowOff>0</xdr:rowOff>
    </xdr:from>
    <xdr:ext cx="182880" cy="182880"/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53035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26</xdr:row>
      <xdr:rowOff>0</xdr:rowOff>
    </xdr:from>
    <xdr:ext cx="182880" cy="182880"/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548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49</xdr:row>
      <xdr:rowOff>0</xdr:rowOff>
    </xdr:from>
    <xdr:ext cx="182880" cy="182880"/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89611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32</xdr:row>
      <xdr:rowOff>0</xdr:rowOff>
    </xdr:from>
    <xdr:ext cx="182880" cy="182880"/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58521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37</xdr:row>
      <xdr:rowOff>0</xdr:rowOff>
    </xdr:from>
    <xdr:ext cx="182880" cy="182880"/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67665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35</xdr:row>
      <xdr:rowOff>0</xdr:rowOff>
    </xdr:from>
    <xdr:ext cx="182880" cy="182880"/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64008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42</xdr:row>
      <xdr:rowOff>0</xdr:rowOff>
    </xdr:from>
    <xdr:ext cx="182880" cy="182880"/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6809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38</xdr:row>
      <xdr:rowOff>0</xdr:rowOff>
    </xdr:from>
    <xdr:ext cx="182880" cy="182880"/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69494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43</xdr:row>
      <xdr:rowOff>0</xdr:rowOff>
    </xdr:from>
    <xdr:ext cx="182880" cy="182880"/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8638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41</xdr:row>
      <xdr:rowOff>0</xdr:rowOff>
    </xdr:from>
    <xdr:ext cx="182880" cy="182880"/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4980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40</xdr:row>
      <xdr:rowOff>0</xdr:rowOff>
    </xdr:from>
    <xdr:ext cx="182880" cy="182880"/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3152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39</xdr:row>
      <xdr:rowOff>0</xdr:rowOff>
    </xdr:from>
    <xdr:ext cx="182880" cy="182880"/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71323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45</xdr:row>
      <xdr:rowOff>0</xdr:rowOff>
    </xdr:from>
    <xdr:ext cx="182880" cy="182880"/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82296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51</xdr:row>
      <xdr:rowOff>0</xdr:rowOff>
    </xdr:from>
    <xdr:ext cx="182880" cy="182880"/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93268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47</xdr:row>
      <xdr:rowOff>0</xdr:rowOff>
    </xdr:from>
    <xdr:ext cx="182880" cy="182880"/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85953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36</xdr:row>
      <xdr:rowOff>0</xdr:rowOff>
    </xdr:from>
    <xdr:ext cx="182880" cy="182880"/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65836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34</xdr:row>
      <xdr:rowOff>0</xdr:rowOff>
    </xdr:from>
    <xdr:ext cx="182880" cy="182880"/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62179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44</xdr:row>
      <xdr:rowOff>0</xdr:rowOff>
    </xdr:from>
    <xdr:ext cx="182880" cy="182880"/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80467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52</xdr:row>
      <xdr:rowOff>0</xdr:rowOff>
    </xdr:from>
    <xdr:ext cx="182880" cy="182880"/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95097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57</xdr:row>
      <xdr:rowOff>0</xdr:rowOff>
    </xdr:from>
    <xdr:ext cx="182880" cy="182880"/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4241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63</xdr:row>
      <xdr:rowOff>0</xdr:rowOff>
    </xdr:from>
    <xdr:ext cx="182880" cy="182880"/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15214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59</xdr:row>
      <xdr:rowOff>0</xdr:rowOff>
    </xdr:from>
    <xdr:ext cx="182880" cy="182880"/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7899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60</xdr:row>
      <xdr:rowOff>0</xdr:rowOff>
    </xdr:from>
    <xdr:ext cx="182880" cy="182880"/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9728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55</xdr:row>
      <xdr:rowOff>0</xdr:rowOff>
    </xdr:from>
    <xdr:ext cx="182880" cy="182880"/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0584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56</xdr:row>
      <xdr:rowOff>0</xdr:rowOff>
    </xdr:from>
    <xdr:ext cx="182880" cy="182880"/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2412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61</xdr:row>
      <xdr:rowOff>0</xdr:rowOff>
    </xdr:from>
    <xdr:ext cx="182880" cy="182880"/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11556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66</xdr:row>
      <xdr:rowOff>0</xdr:rowOff>
    </xdr:from>
    <xdr:ext cx="182880" cy="182880"/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20700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65</xdr:row>
      <xdr:rowOff>0</xdr:rowOff>
    </xdr:from>
    <xdr:ext cx="182880" cy="182880"/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18872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58</xdr:row>
      <xdr:rowOff>0</xdr:rowOff>
    </xdr:from>
    <xdr:ext cx="182880" cy="182880"/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06070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62</xdr:row>
      <xdr:rowOff>0</xdr:rowOff>
    </xdr:from>
    <xdr:ext cx="182880" cy="182880"/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13385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71</xdr:row>
      <xdr:rowOff>0</xdr:rowOff>
    </xdr:from>
    <xdr:ext cx="182880" cy="182880"/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298448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69</xdr:row>
      <xdr:rowOff>0</xdr:rowOff>
    </xdr:from>
    <xdr:ext cx="182880" cy="182880"/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261872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73</xdr:row>
      <xdr:rowOff>0</xdr:rowOff>
    </xdr:from>
    <xdr:ext cx="182880" cy="182880"/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335024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75</xdr:row>
      <xdr:rowOff>0</xdr:rowOff>
    </xdr:from>
    <xdr:ext cx="182880" cy="182880"/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371600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77</xdr:row>
      <xdr:rowOff>0</xdr:rowOff>
    </xdr:from>
    <xdr:ext cx="182880" cy="182880"/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4081760"/>
          <a:ext cx="182880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70</xdr:row>
      <xdr:rowOff>0</xdr:rowOff>
    </xdr:from>
    <xdr:ext cx="168811" cy="182880"/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28016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80</xdr:row>
      <xdr:rowOff>0</xdr:rowOff>
    </xdr:from>
    <xdr:ext cx="168811" cy="182880"/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46304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72</xdr:row>
      <xdr:rowOff>0</xdr:rowOff>
    </xdr:from>
    <xdr:ext cx="168811" cy="182880"/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316736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68</xdr:row>
      <xdr:rowOff>0</xdr:rowOff>
    </xdr:from>
    <xdr:ext cx="168811" cy="182880"/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243584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54</xdr:row>
      <xdr:rowOff>0</xdr:rowOff>
    </xdr:from>
    <xdr:ext cx="168811" cy="182880"/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987552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31</xdr:row>
      <xdr:rowOff>0</xdr:rowOff>
    </xdr:from>
    <xdr:ext cx="168811" cy="182880"/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56692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16</xdr:row>
      <xdr:rowOff>0</xdr:rowOff>
    </xdr:from>
    <xdr:ext cx="168811" cy="182880"/>
    <xdr:pic>
      <xdr:nvPicPr>
        <xdr:cNvPr id="226" name="Рисунок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29260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15</xdr:row>
      <xdr:rowOff>0</xdr:rowOff>
    </xdr:from>
    <xdr:ext cx="168811" cy="182880"/>
    <xdr:pic>
      <xdr:nvPicPr>
        <xdr:cNvPr id="228" name="Рисунок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27432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11</xdr:row>
      <xdr:rowOff>0</xdr:rowOff>
    </xdr:from>
    <xdr:ext cx="168811" cy="182880"/>
    <xdr:pic>
      <xdr:nvPicPr>
        <xdr:cNvPr id="229" name="Рисунок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20116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30</xdr:row>
      <xdr:rowOff>0</xdr:rowOff>
    </xdr:from>
    <xdr:ext cx="168811" cy="182880"/>
    <xdr:pic>
      <xdr:nvPicPr>
        <xdr:cNvPr id="230" name="Рисунок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54864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27</xdr:row>
      <xdr:rowOff>0</xdr:rowOff>
    </xdr:from>
    <xdr:ext cx="168811" cy="182880"/>
    <xdr:pic>
      <xdr:nvPicPr>
        <xdr:cNvPr id="231" name="Рисунок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493776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25</xdr:row>
      <xdr:rowOff>0</xdr:rowOff>
    </xdr:from>
    <xdr:ext cx="168811" cy="182880"/>
    <xdr:pic>
      <xdr:nvPicPr>
        <xdr:cNvPr id="232" name="Рисунок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45720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53</xdr:row>
      <xdr:rowOff>0</xdr:rowOff>
    </xdr:from>
    <xdr:ext cx="168811" cy="182880"/>
    <xdr:pic>
      <xdr:nvPicPr>
        <xdr:cNvPr id="233" name="Рисунок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969264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50</xdr:row>
      <xdr:rowOff>0</xdr:rowOff>
    </xdr:from>
    <xdr:ext cx="168811" cy="182880"/>
    <xdr:pic>
      <xdr:nvPicPr>
        <xdr:cNvPr id="234" name="Рисунок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914400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48</xdr:row>
      <xdr:rowOff>0</xdr:rowOff>
    </xdr:from>
    <xdr:ext cx="168811" cy="182880"/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877824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46</xdr:row>
      <xdr:rowOff>0</xdr:rowOff>
    </xdr:from>
    <xdr:ext cx="168811" cy="182880"/>
    <xdr:pic>
      <xdr:nvPicPr>
        <xdr:cNvPr id="236" name="Рисунок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84124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67</xdr:row>
      <xdr:rowOff>0</xdr:rowOff>
    </xdr:from>
    <xdr:ext cx="168811" cy="182880"/>
    <xdr:pic>
      <xdr:nvPicPr>
        <xdr:cNvPr id="237" name="Рисунок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225296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64</xdr:row>
      <xdr:rowOff>0</xdr:rowOff>
    </xdr:from>
    <xdr:ext cx="168811" cy="182880"/>
    <xdr:pic>
      <xdr:nvPicPr>
        <xdr:cNvPr id="238" name="Рисунок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170432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74</xdr:row>
      <xdr:rowOff>0</xdr:rowOff>
    </xdr:from>
    <xdr:ext cx="168811" cy="182880"/>
    <xdr:pic>
      <xdr:nvPicPr>
        <xdr:cNvPr id="239" name="Рисунок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353312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76</xdr:row>
      <xdr:rowOff>0</xdr:rowOff>
    </xdr:from>
    <xdr:ext cx="168811" cy="182880"/>
    <xdr:pic>
      <xdr:nvPicPr>
        <xdr:cNvPr id="240" name="Рисунок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389888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78</xdr:row>
      <xdr:rowOff>0</xdr:rowOff>
    </xdr:from>
    <xdr:ext cx="168811" cy="182880"/>
    <xdr:pic>
      <xdr:nvPicPr>
        <xdr:cNvPr id="241" name="Рисунок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4264640"/>
          <a:ext cx="168811" cy="182880"/>
        </a:xfrm>
        <a:prstGeom prst="rect">
          <a:avLst/>
        </a:prstGeom>
      </xdr:spPr>
    </xdr:pic>
    <xdr:clientData/>
  </xdr:oneCellAnchor>
  <xdr:oneCellAnchor>
    <xdr:from>
      <xdr:col>12</xdr:col>
      <xdr:colOff>14069</xdr:colOff>
      <xdr:row>79</xdr:row>
      <xdr:rowOff>0</xdr:rowOff>
    </xdr:from>
    <xdr:ext cx="168811" cy="182880"/>
    <xdr:pic>
      <xdr:nvPicPr>
        <xdr:cNvPr id="242" name="Рисунок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769" y="14447520"/>
          <a:ext cx="168811" cy="182880"/>
        </a:xfrm>
        <a:prstGeom prst="rect">
          <a:avLst/>
        </a:prstGeom>
      </xdr:spPr>
    </xdr:pic>
    <xdr:clientData/>
  </xdr:oneCellAnchor>
  <xdr:oneCellAnchor>
    <xdr:from>
      <xdr:col>6</xdr:col>
      <xdr:colOff>14069</xdr:colOff>
      <xdr:row>7</xdr:row>
      <xdr:rowOff>0</xdr:rowOff>
    </xdr:from>
    <xdr:ext cx="168811" cy="182880"/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389" y="1280160"/>
          <a:ext cx="168811" cy="18288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168071</xdr:rowOff>
    </xdr:from>
    <xdr:to>
      <xdr:col>7</xdr:col>
      <xdr:colOff>11223</xdr:colOff>
      <xdr:row>15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4729" y="2678189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11223</xdr:colOff>
      <xdr:row>16</xdr:row>
      <xdr:rowOff>11223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14729" y="2868706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11223</xdr:colOff>
      <xdr:row>17</xdr:row>
      <xdr:rowOff>11223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14729" y="3048000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11223</xdr:colOff>
      <xdr:row>18</xdr:row>
      <xdr:rowOff>11223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14729" y="3227294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11223</xdr:colOff>
      <xdr:row>20</xdr:row>
      <xdr:rowOff>11223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14729" y="3585882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11223</xdr:colOff>
      <xdr:row>19</xdr:row>
      <xdr:rowOff>11223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14729" y="3406588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11223</xdr:colOff>
      <xdr:row>21</xdr:row>
      <xdr:rowOff>11223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14212" y="3585882"/>
          <a:ext cx="190517" cy="19051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11223</xdr:colOff>
      <xdr:row>22</xdr:row>
      <xdr:rowOff>11222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14212" y="3765176"/>
          <a:ext cx="190517" cy="190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1463040"/>
          <a:ext cx="19050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60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43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54880"/>
          <a:ext cx="182880" cy="182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60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43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26080"/>
          <a:ext cx="182880" cy="182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60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43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3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206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389120"/>
          <a:ext cx="182880" cy="182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1</xdr:rowOff>
    </xdr:from>
    <xdr:to>
      <xdr:col>2</xdr:col>
      <xdr:colOff>1</xdr:colOff>
      <xdr:row>12</xdr:row>
      <xdr:rowOff>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0116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</xdr:rowOff>
    </xdr:from>
    <xdr:to>
      <xdr:col>2</xdr:col>
      <xdr:colOff>1</xdr:colOff>
      <xdr:row>13</xdr:row>
      <xdr:rowOff>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1945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1</xdr:rowOff>
    </xdr:from>
    <xdr:to>
      <xdr:col>2</xdr:col>
      <xdr:colOff>1</xdr:colOff>
      <xdr:row>14</xdr:row>
      <xdr:rowOff>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3774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1</xdr:rowOff>
    </xdr:from>
    <xdr:to>
      <xdr:col>2</xdr:col>
      <xdr:colOff>1</xdr:colOff>
      <xdr:row>15</xdr:row>
      <xdr:rowOff>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5603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</xdr:rowOff>
    </xdr:from>
    <xdr:to>
      <xdr:col>2</xdr:col>
      <xdr:colOff>1</xdr:colOff>
      <xdr:row>16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7432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1</xdr:rowOff>
    </xdr:from>
    <xdr:to>
      <xdr:col>2</xdr:col>
      <xdr:colOff>1</xdr:colOff>
      <xdr:row>17</xdr:row>
      <xdr:rowOff>1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9260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1</xdr:rowOff>
    </xdr:from>
    <xdr:to>
      <xdr:col>2</xdr:col>
      <xdr:colOff>1</xdr:colOff>
      <xdr:row>18</xdr:row>
      <xdr:rowOff>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108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1</xdr:rowOff>
    </xdr:from>
    <xdr:to>
      <xdr:col>2</xdr:col>
      <xdr:colOff>1</xdr:colOff>
      <xdr:row>19</xdr:row>
      <xdr:rowOff>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291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19</xdr:row>
      <xdr:rowOff>1</xdr:rowOff>
    </xdr:from>
    <xdr:to>
      <xdr:col>2</xdr:col>
      <xdr:colOff>1</xdr:colOff>
      <xdr:row>20</xdr:row>
      <xdr:rowOff>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4747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20</xdr:row>
      <xdr:rowOff>1</xdr:rowOff>
    </xdr:from>
    <xdr:to>
      <xdr:col>2</xdr:col>
      <xdr:colOff>1</xdr:colOff>
      <xdr:row>21</xdr:row>
      <xdr:rowOff>1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6576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21</xdr:row>
      <xdr:rowOff>1</xdr:rowOff>
    </xdr:from>
    <xdr:to>
      <xdr:col>2</xdr:col>
      <xdr:colOff>1</xdr:colOff>
      <xdr:row>22</xdr:row>
      <xdr:rowOff>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8404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22</xdr:row>
      <xdr:rowOff>1</xdr:rowOff>
    </xdr:from>
    <xdr:to>
      <xdr:col>2</xdr:col>
      <xdr:colOff>1</xdr:colOff>
      <xdr:row>23</xdr:row>
      <xdr:rowOff>1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0233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</xdr:rowOff>
    </xdr:from>
    <xdr:to>
      <xdr:col>2</xdr:col>
      <xdr:colOff>1</xdr:colOff>
      <xdr:row>24</xdr:row>
      <xdr:rowOff>1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2062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24</xdr:row>
      <xdr:rowOff>1</xdr:rowOff>
    </xdr:from>
    <xdr:to>
      <xdr:col>2</xdr:col>
      <xdr:colOff>1</xdr:colOff>
      <xdr:row>25</xdr:row>
      <xdr:rowOff>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3891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25</xdr:row>
      <xdr:rowOff>1</xdr:rowOff>
    </xdr:from>
    <xdr:to>
      <xdr:col>2</xdr:col>
      <xdr:colOff>1</xdr:colOff>
      <xdr:row>26</xdr:row>
      <xdr:rowOff>1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5720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26</xdr:row>
      <xdr:rowOff>1</xdr:rowOff>
    </xdr:from>
    <xdr:to>
      <xdr:col>2</xdr:col>
      <xdr:colOff>1</xdr:colOff>
      <xdr:row>27</xdr:row>
      <xdr:rowOff>1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7548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27</xdr:row>
      <xdr:rowOff>1</xdr:rowOff>
    </xdr:from>
    <xdr:to>
      <xdr:col>2</xdr:col>
      <xdr:colOff>1</xdr:colOff>
      <xdr:row>28</xdr:row>
      <xdr:rowOff>1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937761"/>
          <a:ext cx="182880" cy="182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1</xdr:rowOff>
    </xdr:from>
    <xdr:to>
      <xdr:col>2</xdr:col>
      <xdr:colOff>1</xdr:colOff>
      <xdr:row>12</xdr:row>
      <xdr:rowOff>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0116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</xdr:rowOff>
    </xdr:from>
    <xdr:to>
      <xdr:col>2</xdr:col>
      <xdr:colOff>1</xdr:colOff>
      <xdr:row>13</xdr:row>
      <xdr:rowOff>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1945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1</xdr:rowOff>
    </xdr:from>
    <xdr:to>
      <xdr:col>2</xdr:col>
      <xdr:colOff>1</xdr:colOff>
      <xdr:row>14</xdr:row>
      <xdr:rowOff>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3774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1</xdr:rowOff>
    </xdr:from>
    <xdr:to>
      <xdr:col>2</xdr:col>
      <xdr:colOff>1</xdr:colOff>
      <xdr:row>15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5603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</xdr:rowOff>
    </xdr:from>
    <xdr:to>
      <xdr:col>2</xdr:col>
      <xdr:colOff>1</xdr:colOff>
      <xdr:row>16</xdr:row>
      <xdr:rowOff>1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7432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1</xdr:rowOff>
    </xdr:from>
    <xdr:to>
      <xdr:col>2</xdr:col>
      <xdr:colOff>1</xdr:colOff>
      <xdr:row>17</xdr:row>
      <xdr:rowOff>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9260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1</xdr:rowOff>
    </xdr:from>
    <xdr:to>
      <xdr:col>2</xdr:col>
      <xdr:colOff>1</xdr:colOff>
      <xdr:row>18</xdr:row>
      <xdr:rowOff>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108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1</xdr:rowOff>
    </xdr:from>
    <xdr:to>
      <xdr:col>2</xdr:col>
      <xdr:colOff>1</xdr:colOff>
      <xdr:row>19</xdr:row>
      <xdr:rowOff>1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291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20</xdr:row>
      <xdr:rowOff>1</xdr:rowOff>
    </xdr:from>
    <xdr:to>
      <xdr:col>2</xdr:col>
      <xdr:colOff>1</xdr:colOff>
      <xdr:row>21</xdr:row>
      <xdr:rowOff>1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6576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3360"/>
          <a:ext cx="182880" cy="182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1</xdr:rowOff>
    </xdr:from>
    <xdr:to>
      <xdr:col>2</xdr:col>
      <xdr:colOff>1</xdr:colOff>
      <xdr:row>12</xdr:row>
      <xdr:rowOff>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0116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</xdr:rowOff>
    </xdr:from>
    <xdr:to>
      <xdr:col>2</xdr:col>
      <xdr:colOff>1</xdr:colOff>
      <xdr:row>13</xdr:row>
      <xdr:rowOff>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1945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1</xdr:rowOff>
    </xdr:from>
    <xdr:to>
      <xdr:col>2</xdr:col>
      <xdr:colOff>1</xdr:colOff>
      <xdr:row>14</xdr:row>
      <xdr:rowOff>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3774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1</xdr:rowOff>
    </xdr:from>
    <xdr:to>
      <xdr:col>2</xdr:col>
      <xdr:colOff>1</xdr:colOff>
      <xdr:row>15</xdr:row>
      <xdr:rowOff>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5603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</xdr:rowOff>
    </xdr:from>
    <xdr:to>
      <xdr:col>2</xdr:col>
      <xdr:colOff>1</xdr:colOff>
      <xdr:row>16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7432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1</xdr:rowOff>
    </xdr:from>
    <xdr:to>
      <xdr:col>2</xdr:col>
      <xdr:colOff>1</xdr:colOff>
      <xdr:row>17</xdr:row>
      <xdr:rowOff>1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9260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1</xdr:rowOff>
    </xdr:from>
    <xdr:to>
      <xdr:col>2</xdr:col>
      <xdr:colOff>1</xdr:colOff>
      <xdr:row>18</xdr:row>
      <xdr:rowOff>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108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1</xdr:rowOff>
    </xdr:from>
    <xdr:to>
      <xdr:col>2</xdr:col>
      <xdr:colOff>1</xdr:colOff>
      <xdr:row>19</xdr:row>
      <xdr:rowOff>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291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474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20</xdr:row>
      <xdr:rowOff>1</xdr:rowOff>
    </xdr:from>
    <xdr:to>
      <xdr:col>2</xdr:col>
      <xdr:colOff>1</xdr:colOff>
      <xdr:row>21</xdr:row>
      <xdr:rowOff>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6576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21</xdr:row>
      <xdr:rowOff>1</xdr:rowOff>
    </xdr:from>
    <xdr:to>
      <xdr:col>2</xdr:col>
      <xdr:colOff>1</xdr:colOff>
      <xdr:row>22</xdr:row>
      <xdr:rowOff>1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8404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22</xdr:row>
      <xdr:rowOff>1</xdr:rowOff>
    </xdr:from>
    <xdr:to>
      <xdr:col>2</xdr:col>
      <xdr:colOff>1</xdr:colOff>
      <xdr:row>23</xdr:row>
      <xdr:rowOff>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0233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</xdr:rowOff>
    </xdr:from>
    <xdr:to>
      <xdr:col>2</xdr:col>
      <xdr:colOff>1</xdr:colOff>
      <xdr:row>24</xdr:row>
      <xdr:rowOff>1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2062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24</xdr:row>
      <xdr:rowOff>1</xdr:rowOff>
    </xdr:from>
    <xdr:to>
      <xdr:col>2</xdr:col>
      <xdr:colOff>1</xdr:colOff>
      <xdr:row>25</xdr:row>
      <xdr:rowOff>1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3891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25</xdr:row>
      <xdr:rowOff>1</xdr:rowOff>
    </xdr:from>
    <xdr:to>
      <xdr:col>2</xdr:col>
      <xdr:colOff>1</xdr:colOff>
      <xdr:row>26</xdr:row>
      <xdr:rowOff>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4572001"/>
          <a:ext cx="182880" cy="182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1</xdr:rowOff>
    </xdr:from>
    <xdr:to>
      <xdr:col>2</xdr:col>
      <xdr:colOff>1</xdr:colOff>
      <xdr:row>12</xdr:row>
      <xdr:rowOff>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0116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</xdr:rowOff>
    </xdr:from>
    <xdr:to>
      <xdr:col>2</xdr:col>
      <xdr:colOff>1</xdr:colOff>
      <xdr:row>13</xdr:row>
      <xdr:rowOff>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1945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1</xdr:rowOff>
    </xdr:from>
    <xdr:to>
      <xdr:col>2</xdr:col>
      <xdr:colOff>1</xdr:colOff>
      <xdr:row>14</xdr:row>
      <xdr:rowOff>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3774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1</xdr:rowOff>
    </xdr:from>
    <xdr:to>
      <xdr:col>2</xdr:col>
      <xdr:colOff>1</xdr:colOff>
      <xdr:row>15</xdr:row>
      <xdr:rowOff>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5603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</xdr:rowOff>
    </xdr:from>
    <xdr:to>
      <xdr:col>2</xdr:col>
      <xdr:colOff>1</xdr:colOff>
      <xdr:row>16</xdr:row>
      <xdr:rowOff>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7432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1</xdr:rowOff>
    </xdr:from>
    <xdr:to>
      <xdr:col>2</xdr:col>
      <xdr:colOff>1</xdr:colOff>
      <xdr:row>17</xdr:row>
      <xdr:rowOff>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29260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1</xdr:rowOff>
    </xdr:from>
    <xdr:to>
      <xdr:col>2</xdr:col>
      <xdr:colOff>1</xdr:colOff>
      <xdr:row>18</xdr:row>
      <xdr:rowOff>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108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1</xdr:rowOff>
    </xdr:from>
    <xdr:to>
      <xdr:col>2</xdr:col>
      <xdr:colOff>1</xdr:colOff>
      <xdr:row>19</xdr:row>
      <xdr:rowOff>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291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19</xdr:row>
      <xdr:rowOff>1</xdr:rowOff>
    </xdr:from>
    <xdr:to>
      <xdr:col>2</xdr:col>
      <xdr:colOff>1</xdr:colOff>
      <xdr:row>20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4747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20</xdr:row>
      <xdr:rowOff>1</xdr:rowOff>
    </xdr:from>
    <xdr:to>
      <xdr:col>2</xdr:col>
      <xdr:colOff>1</xdr:colOff>
      <xdr:row>21</xdr:row>
      <xdr:rowOff>1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657601"/>
          <a:ext cx="182880" cy="182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99060</xdr:rowOff>
    </xdr:from>
    <xdr:to>
      <xdr:col>2</xdr:col>
      <xdr:colOff>0</xdr:colOff>
      <xdr:row>70</xdr:row>
      <xdr:rowOff>99060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718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76200</xdr:rowOff>
    </xdr:from>
    <xdr:to>
      <xdr:col>2</xdr:col>
      <xdr:colOff>0</xdr:colOff>
      <xdr:row>32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79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116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0</xdr:colOff>
      <xdr:row>100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093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288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739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83820</xdr:rowOff>
    </xdr:from>
    <xdr:to>
      <xdr:col>2</xdr:col>
      <xdr:colOff>0</xdr:colOff>
      <xdr:row>7</xdr:row>
      <xdr:rowOff>83820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811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91440</xdr:rowOff>
    </xdr:from>
    <xdr:to>
      <xdr:col>2</xdr:col>
      <xdr:colOff>0</xdr:colOff>
      <xdr:row>117</xdr:row>
      <xdr:rowOff>91440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293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83820</xdr:rowOff>
    </xdr:from>
    <xdr:to>
      <xdr:col>2</xdr:col>
      <xdr:colOff>0</xdr:colOff>
      <xdr:row>51</xdr:row>
      <xdr:rowOff>83820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496300"/>
          <a:ext cx="182880" cy="18288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26</xdr:row>
      <xdr:rowOff>68580</xdr:rowOff>
    </xdr:from>
    <xdr:ext cx="182880" cy="182880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64058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106680</xdr:rowOff>
    </xdr:from>
    <xdr:ext cx="182880" cy="182880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63980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83820</xdr:rowOff>
    </xdr:from>
    <xdr:ext cx="182880" cy="182880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73758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175260</xdr:rowOff>
    </xdr:from>
    <xdr:ext cx="182880" cy="182880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47878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82880" cy="182880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78992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99060</xdr:rowOff>
    </xdr:from>
    <xdr:ext cx="182880" cy="182880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BEBA8EAE-BF5A-486C-A8C5-ECC9F3942E4B}">
              <a14:imgProps xmlns:a14="http://schemas.microsoft.com/office/drawing/2010/main">
                <a14:imgLayer r:embed="rId3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2786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83820</xdr:rowOff>
    </xdr:from>
    <xdr:ext cx="182880" cy="182880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BEBA8EAE-BF5A-486C-A8C5-ECC9F3942E4B}">
              <a14:imgProps xmlns:a14="http://schemas.microsoft.com/office/drawing/2010/main">
                <a14:imgLayer r:embed="rId3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74142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82880" cy="182880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BEBA8EAE-BF5A-486C-A8C5-ECC9F3942E4B}">
              <a14:imgProps xmlns:a14="http://schemas.microsoft.com/office/drawing/2010/main">
                <a14:imgLayer r:embed="rId3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16736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104</xdr:row>
      <xdr:rowOff>76200</xdr:rowOff>
    </xdr:from>
    <xdr:ext cx="182880" cy="182880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BEBA8EAE-BF5A-486C-A8C5-ECC9F3942E4B}">
              <a14:imgProps xmlns:a14="http://schemas.microsoft.com/office/drawing/2010/main">
                <a14:imgLayer r:embed="rId3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08404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76200</xdr:rowOff>
    </xdr:from>
    <xdr:ext cx="182880" cy="182880"/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0228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99060</xdr:rowOff>
    </xdr:from>
    <xdr:ext cx="182880" cy="182880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91234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91440</xdr:rowOff>
    </xdr:from>
    <xdr:ext cx="182880" cy="182880"/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0936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0</xdr:colOff>
      <xdr:row>19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13</xdr:col>
      <xdr:colOff>0</xdr:colOff>
      <xdr:row>77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12984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181707</xdr:colOff>
      <xdr:row>63</xdr:row>
      <xdr:rowOff>182879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10789920"/>
          <a:ext cx="181707" cy="18287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8412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0</xdr:colOff>
      <xdr:row>52</xdr:row>
      <xdr:rowOff>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BEBA8EAE-BF5A-486C-A8C5-ECC9F3942E4B}">
              <a14:imgProps xmlns:a14="http://schemas.microsoft.com/office/drawing/2010/main">
                <a14:imgLayer r:embed="rId49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8595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13</xdr:col>
      <xdr:colOff>0</xdr:colOff>
      <xdr:row>65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10972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13</xdr:col>
      <xdr:colOff>0</xdr:colOff>
      <xdr:row>78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260" y="13167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17</xdr:col>
      <xdr:colOff>0</xdr:colOff>
      <xdr:row>32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5303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17</xdr:col>
      <xdr:colOff>0</xdr:colOff>
      <xdr:row>121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9933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17</xdr:col>
      <xdr:colOff>0</xdr:colOff>
      <xdr:row>99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5910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17</xdr:col>
      <xdr:colOff>0</xdr:colOff>
      <xdr:row>108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7556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17</xdr:col>
      <xdr:colOff>0</xdr:colOff>
      <xdr:row>69</xdr:row>
      <xdr:rowOff>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0789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0789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64</xdr:row>
      <xdr:rowOff>0</xdr:rowOff>
    </xdr:from>
    <xdr:to>
      <xdr:col>4</xdr:col>
      <xdr:colOff>7620</xdr:colOff>
      <xdr:row>65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BEBA8EAE-BF5A-486C-A8C5-ECC9F3942E4B}">
              <a14:imgProps xmlns:a14="http://schemas.microsoft.com/office/drawing/2010/main">
                <a14:imgLayer r:embed="rId5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10058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0</xdr:colOff>
      <xdr:row>60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326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0</xdr:colOff>
      <xdr:row>61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509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7</xdr:col>
      <xdr:colOff>0</xdr:colOff>
      <xdr:row>84</xdr:row>
      <xdr:rowOff>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167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3533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BEBA8EAE-BF5A-486C-A8C5-ECC9F3942E4B}">
              <a14:imgProps xmlns:a14="http://schemas.microsoft.com/office/drawing/2010/main">
                <a14:imgLayer r:embed="rId5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3716000"/>
          <a:ext cx="182880" cy="18288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66</xdr:row>
      <xdr:rowOff>0</xdr:rowOff>
    </xdr:from>
    <xdr:ext cx="182880" cy="182880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042416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66</xdr:row>
      <xdr:rowOff>0</xdr:rowOff>
    </xdr:from>
    <xdr:ext cx="182880" cy="182880"/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042416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67</xdr:row>
      <xdr:rowOff>0</xdr:rowOff>
    </xdr:from>
    <xdr:ext cx="182880" cy="182880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52144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67</xdr:row>
      <xdr:rowOff>0</xdr:rowOff>
    </xdr:from>
    <xdr:ext cx="182880" cy="182880"/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060704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61</xdr:row>
      <xdr:rowOff>0</xdr:rowOff>
    </xdr:from>
    <xdr:to>
      <xdr:col>7</xdr:col>
      <xdr:colOff>0</xdr:colOff>
      <xdr:row>62</xdr:row>
      <xdr:rowOff>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692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7</xdr:col>
      <xdr:colOff>0</xdr:colOff>
      <xdr:row>99</xdr:row>
      <xdr:rowOff>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5910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7</xdr:col>
      <xdr:colOff>0</xdr:colOff>
      <xdr:row>104</xdr:row>
      <xdr:rowOff>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6824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0</xdr:colOff>
      <xdr:row>63</xdr:row>
      <xdr:rowOff>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875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7</xdr:col>
      <xdr:colOff>0</xdr:colOff>
      <xdr:row>105</xdr:row>
      <xdr:rowOff>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7007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8836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BEBA8EAE-BF5A-486C-A8C5-ECC9F3942E4B}">
              <a14:imgProps xmlns:a14="http://schemas.microsoft.com/office/drawing/2010/main">
                <a14:imgLayer r:embed="rId6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019520"/>
          <a:ext cx="182880" cy="18288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41</xdr:row>
      <xdr:rowOff>0</xdr:rowOff>
    </xdr:from>
    <xdr:ext cx="182880" cy="182880"/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202400"/>
          <a:ext cx="182880" cy="18288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42</xdr:row>
      <xdr:rowOff>0</xdr:rowOff>
    </xdr:from>
    <xdr:ext cx="182880" cy="182880"/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3852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63</xdr:row>
      <xdr:rowOff>0</xdr:rowOff>
    </xdr:from>
    <xdr:to>
      <xdr:col>7</xdr:col>
      <xdr:colOff>0</xdr:colOff>
      <xdr:row>64</xdr:row>
      <xdr:rowOff>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0058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0</xdr:colOff>
      <xdr:row>65</xdr:row>
      <xdr:rowOff>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0241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40</xdr:row>
      <xdr:rowOff>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6035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4572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0</xdr:colOff>
      <xdr:row>69</xdr:row>
      <xdr:rowOff>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0789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0</xdr:colOff>
      <xdr:row>116</xdr:row>
      <xdr:rowOff>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019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0</xdr:colOff>
      <xdr:row>36</xdr:row>
      <xdr:rowOff>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303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0</xdr:colOff>
      <xdr:row>114</xdr:row>
      <xdr:rowOff>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653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7</xdr:col>
      <xdr:colOff>0</xdr:colOff>
      <xdr:row>117</xdr:row>
      <xdr:rowOff>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202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BEBA8EAE-BF5A-486C-A8C5-ECC9F3942E4B}">
              <a14:imgProps xmlns:a14="http://schemas.microsoft.com/office/drawing/2010/main">
                <a14:imgLayer r:embed="rId7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751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17</xdr:col>
      <xdr:colOff>0</xdr:colOff>
      <xdr:row>120</xdr:row>
      <xdr:rowOff>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9751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5486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17</xdr:col>
      <xdr:colOff>0</xdr:colOff>
      <xdr:row>117</xdr:row>
      <xdr:rowOff>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9202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17</xdr:col>
      <xdr:colOff>0</xdr:colOff>
      <xdr:row>13</xdr:row>
      <xdr:rowOff>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2011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17</xdr:col>
      <xdr:colOff>0</xdr:colOff>
      <xdr:row>109</xdr:row>
      <xdr:rowOff>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77393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69</xdr:row>
      <xdr:rowOff>1</xdr:rowOff>
    </xdr:from>
    <xdr:to>
      <xdr:col>17</xdr:col>
      <xdr:colOff>1</xdr:colOff>
      <xdr:row>70</xdr:row>
      <xdr:rowOff>1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1" y="109728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17</xdr:col>
      <xdr:colOff>0</xdr:colOff>
      <xdr:row>100</xdr:row>
      <xdr:rowOff>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6093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17</xdr:col>
      <xdr:colOff>0</xdr:colOff>
      <xdr:row>122</xdr:row>
      <xdr:rowOff>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20116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99</xdr:row>
      <xdr:rowOff>1</xdr:rowOff>
    </xdr:from>
    <xdr:to>
      <xdr:col>7</xdr:col>
      <xdr:colOff>1</xdr:colOff>
      <xdr:row>100</xdr:row>
      <xdr:rowOff>1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60934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25</xdr:row>
      <xdr:rowOff>1</xdr:rowOff>
    </xdr:from>
    <xdr:to>
      <xdr:col>7</xdr:col>
      <xdr:colOff>1</xdr:colOff>
      <xdr:row>26</xdr:row>
      <xdr:rowOff>1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40233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83820</xdr:rowOff>
    </xdr:from>
    <xdr:to>
      <xdr:col>7</xdr:col>
      <xdr:colOff>0</xdr:colOff>
      <xdr:row>12</xdr:row>
      <xdr:rowOff>83820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126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26</xdr:row>
      <xdr:rowOff>1</xdr:rowOff>
    </xdr:from>
    <xdr:to>
      <xdr:col>7</xdr:col>
      <xdr:colOff>1</xdr:colOff>
      <xdr:row>27</xdr:row>
      <xdr:rowOff>1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42062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17</xdr:col>
      <xdr:colOff>0</xdr:colOff>
      <xdr:row>78</xdr:row>
      <xdr:rowOff>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3167360"/>
          <a:ext cx="182880" cy="18288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124</xdr:row>
      <xdr:rowOff>60960</xdr:rowOff>
    </xdr:from>
    <xdr:ext cx="182880" cy="182880"/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BEBA8EAE-BF5A-486C-A8C5-ECC9F3942E4B}">
              <a14:imgProps xmlns:a14="http://schemas.microsoft.com/office/drawing/2010/main">
                <a14:imgLayer r:embed="rId8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72640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1</xdr:colOff>
      <xdr:row>138</xdr:row>
      <xdr:rowOff>1</xdr:rowOff>
    </xdr:from>
    <xdr:ext cx="182880" cy="182880"/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BEBA8EAE-BF5A-486C-A8C5-ECC9F3942E4B}">
              <a14:imgProps xmlns:a14="http://schemas.microsoft.com/office/drawing/2010/main">
                <a14:imgLayer r:embed="rId8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3225761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68580</xdr:rowOff>
    </xdr:from>
    <xdr:ext cx="182880" cy="182880"/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BEBA8EAE-BF5A-486C-A8C5-ECC9F3942E4B}">
              <a14:imgProps xmlns:a14="http://schemas.microsoft.com/office/drawing/2010/main">
                <a14:imgLayer r:embed="rId8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66010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99060</xdr:rowOff>
    </xdr:from>
    <xdr:ext cx="182880" cy="182880"/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BEBA8EAE-BF5A-486C-A8C5-ECC9F3942E4B}">
              <a14:imgProps xmlns:a14="http://schemas.microsoft.com/office/drawing/2010/main">
                <a14:imgLayer r:embed="rId91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31314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1</xdr:colOff>
      <xdr:row>143</xdr:row>
      <xdr:rowOff>1</xdr:rowOff>
    </xdr:from>
    <xdr:ext cx="182880" cy="182880"/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BEBA8EAE-BF5A-486C-A8C5-ECC9F3942E4B}">
              <a14:imgProps xmlns:a14="http://schemas.microsoft.com/office/drawing/2010/main">
                <a14:imgLayer r:embed="rId93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4140161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145</xdr:row>
      <xdr:rowOff>0</xdr:rowOff>
    </xdr:from>
    <xdr:ext cx="182880" cy="182880"/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BEBA8EAE-BF5A-486C-A8C5-ECC9F3942E4B}">
              <a14:imgProps xmlns:a14="http://schemas.microsoft.com/office/drawing/2010/main">
                <a14:imgLayer r:embed="rId95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505920"/>
          <a:ext cx="182880" cy="1828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82880" cy="182880"/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BEBA8EAE-BF5A-486C-A8C5-ECC9F3942E4B}">
              <a14:imgProps xmlns:a14="http://schemas.microsoft.com/office/drawing/2010/main">
                <a14:imgLayer r:embed="rId97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67712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126</xdr:row>
      <xdr:rowOff>0</xdr:rowOff>
    </xdr:from>
    <xdr:ext cx="182880" cy="182880"/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03120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127</xdr:row>
      <xdr:rowOff>0</xdr:rowOff>
    </xdr:from>
    <xdr:ext cx="182880" cy="182880"/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21408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128</xdr:row>
      <xdr:rowOff>0</xdr:rowOff>
    </xdr:from>
    <xdr:ext cx="182880" cy="182880"/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39696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143</xdr:row>
      <xdr:rowOff>0</xdr:rowOff>
    </xdr:from>
    <xdr:ext cx="182880" cy="182880"/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414016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135</xdr:row>
      <xdr:rowOff>0</xdr:rowOff>
    </xdr:from>
    <xdr:to>
      <xdr:col>7</xdr:col>
      <xdr:colOff>0</xdr:colOff>
      <xdr:row>136</xdr:row>
      <xdr:rowOff>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2677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48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121</xdr:row>
      <xdr:rowOff>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933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731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129</xdr:row>
      <xdr:rowOff>1</xdr:rowOff>
    </xdr:from>
    <xdr:to>
      <xdr:col>7</xdr:col>
      <xdr:colOff>1</xdr:colOff>
      <xdr:row>130</xdr:row>
      <xdr:rowOff>1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21579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BEBA8EAE-BF5A-486C-A8C5-ECC9F3942E4B}">
              <a14:imgProps xmlns:a14="http://schemas.microsoft.com/office/drawing/2010/main">
                <a14:imgLayer r:embed="rId5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4813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0</xdr:colOff>
      <xdr:row>94</xdr:row>
      <xdr:rowOff>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4996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89</xdr:row>
      <xdr:rowOff>1</xdr:rowOff>
    </xdr:from>
    <xdr:to>
      <xdr:col>7</xdr:col>
      <xdr:colOff>1</xdr:colOff>
      <xdr:row>90</xdr:row>
      <xdr:rowOff>1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73736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69</xdr:row>
      <xdr:rowOff>1</xdr:rowOff>
    </xdr:from>
    <xdr:to>
      <xdr:col>7</xdr:col>
      <xdr:colOff>1</xdr:colOff>
      <xdr:row>70</xdr:row>
      <xdr:rowOff>1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09728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117</xdr:row>
      <xdr:rowOff>1</xdr:rowOff>
    </xdr:from>
    <xdr:to>
      <xdr:col>7</xdr:col>
      <xdr:colOff>1</xdr:colOff>
      <xdr:row>118</xdr:row>
      <xdr:rowOff>1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93852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49</xdr:row>
      <xdr:rowOff>1</xdr:rowOff>
    </xdr:from>
    <xdr:to>
      <xdr:col>17</xdr:col>
      <xdr:colOff>1</xdr:colOff>
      <xdr:row>50</xdr:row>
      <xdr:rowOff>1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1" y="7680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</xdr:row>
      <xdr:rowOff>99060</xdr:rowOff>
    </xdr:from>
    <xdr:to>
      <xdr:col>17</xdr:col>
      <xdr:colOff>0</xdr:colOff>
      <xdr:row>7</xdr:row>
      <xdr:rowOff>99060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1963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0</xdr:colOff>
      <xdr:row>44</xdr:row>
      <xdr:rowOff>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6766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51</xdr:row>
      <xdr:rowOff>0</xdr:rowOff>
    </xdr:from>
    <xdr:to>
      <xdr:col>4</xdr:col>
      <xdr:colOff>7620</xdr:colOff>
      <xdr:row>52</xdr:row>
      <xdr:rowOff>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BEBA8EAE-BF5A-486C-A8C5-ECC9F3942E4B}">
              <a14:imgProps xmlns:a14="http://schemas.microsoft.com/office/drawing/2010/main">
                <a14:imgLayer r:embed="rId5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8046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0</xdr:colOff>
      <xdr:row>53</xdr:row>
      <xdr:rowOff>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8778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7</xdr:col>
      <xdr:colOff>0</xdr:colOff>
      <xdr:row>146</xdr:row>
      <xdr:rowOff>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450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37</xdr:row>
      <xdr:rowOff>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486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94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0</xdr:colOff>
      <xdr:row>86</xdr:row>
      <xdr:rowOff>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533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377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4754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BEBA8EAE-BF5A-486C-A8C5-ECC9F3942E4B}">
              <a14:imgProps xmlns:a14="http://schemas.microsoft.com/office/drawing/2010/main">
                <a14:imgLayer r:embed="rId11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45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7</xdr:col>
      <xdr:colOff>0</xdr:colOff>
      <xdr:row>131</xdr:row>
      <xdr:rowOff>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762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560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7</xdr:col>
      <xdr:colOff>0</xdr:colOff>
      <xdr:row>132</xdr:row>
      <xdr:rowOff>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1945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17</xdr:col>
      <xdr:colOff>0</xdr:colOff>
      <xdr:row>24</xdr:row>
      <xdr:rowOff>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743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18</xdr:row>
      <xdr:rowOff>0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926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3108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7</xdr:col>
      <xdr:colOff>0</xdr:colOff>
      <xdr:row>91</xdr:row>
      <xdr:rowOff>0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7556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0</xdr:colOff>
      <xdr:row>45</xdr:row>
      <xdr:rowOff>0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6949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7</xdr:col>
      <xdr:colOff>0</xdr:colOff>
      <xdr:row>46</xdr:row>
      <xdr:rowOff>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7132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46</xdr:row>
      <xdr:rowOff>1</xdr:rowOff>
    </xdr:from>
    <xdr:to>
      <xdr:col>7</xdr:col>
      <xdr:colOff>1</xdr:colOff>
      <xdr:row>47</xdr:row>
      <xdr:rowOff>1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73152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47</xdr:row>
      <xdr:rowOff>1</xdr:rowOff>
    </xdr:from>
    <xdr:to>
      <xdr:col>7</xdr:col>
      <xdr:colOff>1</xdr:colOff>
      <xdr:row>48</xdr:row>
      <xdr:rowOff>1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74980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91</xdr:row>
      <xdr:rowOff>1</xdr:rowOff>
    </xdr:from>
    <xdr:to>
      <xdr:col>7</xdr:col>
      <xdr:colOff>1</xdr:colOff>
      <xdr:row>92</xdr:row>
      <xdr:rowOff>1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77393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48</xdr:row>
      <xdr:rowOff>1</xdr:rowOff>
    </xdr:from>
    <xdr:to>
      <xdr:col>7</xdr:col>
      <xdr:colOff>1</xdr:colOff>
      <xdr:row>49</xdr:row>
      <xdr:rowOff>1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76809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49</xdr:row>
      <xdr:rowOff>1</xdr:rowOff>
    </xdr:from>
    <xdr:to>
      <xdr:col>7</xdr:col>
      <xdr:colOff>1</xdr:colOff>
      <xdr:row>50</xdr:row>
      <xdr:rowOff>1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7863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7</xdr:col>
      <xdr:colOff>0</xdr:colOff>
      <xdr:row>52</xdr:row>
      <xdr:rowOff>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8229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0</xdr:colOff>
      <xdr:row>51</xdr:row>
      <xdr:rowOff>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8046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53</xdr:row>
      <xdr:rowOff>1</xdr:rowOff>
    </xdr:from>
    <xdr:to>
      <xdr:col>7</xdr:col>
      <xdr:colOff>1</xdr:colOff>
      <xdr:row>54</xdr:row>
      <xdr:rowOff>1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85953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50</xdr:row>
      <xdr:rowOff>1</xdr:rowOff>
    </xdr:from>
    <xdr:to>
      <xdr:col>17</xdr:col>
      <xdr:colOff>1</xdr:colOff>
      <xdr:row>51</xdr:row>
      <xdr:rowOff>1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1" y="78638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17</xdr:col>
      <xdr:colOff>0</xdr:colOff>
      <xdr:row>63</xdr:row>
      <xdr:rowOff>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9875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91440</xdr:rowOff>
    </xdr:from>
    <xdr:to>
      <xdr:col>17</xdr:col>
      <xdr:colOff>0</xdr:colOff>
      <xdr:row>27</xdr:row>
      <xdr:rowOff>91440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4663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99060</xdr:rowOff>
    </xdr:from>
    <xdr:to>
      <xdr:col>17</xdr:col>
      <xdr:colOff>0</xdr:colOff>
      <xdr:row>128</xdr:row>
      <xdr:rowOff>99060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213131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24</xdr:row>
      <xdr:rowOff>1</xdr:rowOff>
    </xdr:from>
    <xdr:to>
      <xdr:col>17</xdr:col>
      <xdr:colOff>1</xdr:colOff>
      <xdr:row>25</xdr:row>
      <xdr:rowOff>1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1" y="38404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52</xdr:row>
      <xdr:rowOff>1</xdr:rowOff>
    </xdr:from>
    <xdr:to>
      <xdr:col>7</xdr:col>
      <xdr:colOff>1</xdr:colOff>
      <xdr:row>53</xdr:row>
      <xdr:rowOff>1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841248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31</xdr:row>
      <xdr:rowOff>1</xdr:rowOff>
    </xdr:from>
    <xdr:to>
      <xdr:col>7</xdr:col>
      <xdr:colOff>1</xdr:colOff>
      <xdr:row>32</xdr:row>
      <xdr:rowOff>1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493776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0</xdr:colOff>
      <xdr:row>55</xdr:row>
      <xdr:rowOff>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8778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097280"/>
          <a:ext cx="182880" cy="18288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58</xdr:row>
      <xdr:rowOff>0</xdr:rowOff>
    </xdr:from>
    <xdr:ext cx="182880" cy="182880"/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14400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58</xdr:row>
      <xdr:rowOff>0</xdr:rowOff>
    </xdr:from>
    <xdr:ext cx="182880" cy="182880"/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914400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6</xdr:col>
      <xdr:colOff>1</xdr:colOff>
      <xdr:row>92</xdr:row>
      <xdr:rowOff>1</xdr:rowOff>
    </xdr:from>
    <xdr:to>
      <xdr:col>7</xdr:col>
      <xdr:colOff>1</xdr:colOff>
      <xdr:row>93</xdr:row>
      <xdr:rowOff>1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1792224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7</xdr:col>
      <xdr:colOff>0</xdr:colOff>
      <xdr:row>94</xdr:row>
      <xdr:rowOff>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105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14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3291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7</xdr:col>
      <xdr:colOff>0</xdr:colOff>
      <xdr:row>85</xdr:row>
      <xdr:rowOff>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3502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7</xdr:col>
      <xdr:colOff>0</xdr:colOff>
      <xdr:row>141</xdr:row>
      <xdr:rowOff>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35915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0</xdr:colOff>
      <xdr:row>73</xdr:row>
      <xdr:rowOff>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521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0</xdr:colOff>
      <xdr:row>125</xdr:row>
      <xdr:rowOff>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06654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7</xdr:col>
      <xdr:colOff>0</xdr:colOff>
      <xdr:row>126</xdr:row>
      <xdr:rowOff>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0848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0</xdr:colOff>
      <xdr:row>74</xdr:row>
      <xdr:rowOff>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704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80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7</xdr:col>
      <xdr:colOff>0</xdr:colOff>
      <xdr:row>75</xdr:row>
      <xdr:rowOff>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8872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7</xdr:col>
      <xdr:colOff>0</xdr:colOff>
      <xdr:row>76</xdr:row>
      <xdr:rowOff>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0700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4630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7</xdr:col>
      <xdr:colOff>0</xdr:colOff>
      <xdr:row>139</xdr:row>
      <xdr:rowOff>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3225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7</xdr:col>
      <xdr:colOff>0</xdr:colOff>
      <xdr:row>77</xdr:row>
      <xdr:rowOff>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2529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7</xdr:col>
      <xdr:colOff>0</xdr:colOff>
      <xdr:row>78</xdr:row>
      <xdr:rowOff>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4358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7</xdr:col>
      <xdr:colOff>0</xdr:colOff>
      <xdr:row>106</xdr:row>
      <xdr:rowOff>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7190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0</xdr:colOff>
      <xdr:row>115</xdr:row>
      <xdr:rowOff>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836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76200</xdr:rowOff>
    </xdr:from>
    <xdr:to>
      <xdr:col>7</xdr:col>
      <xdr:colOff>0</xdr:colOff>
      <xdr:row>24</xdr:row>
      <xdr:rowOff>76200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3733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7</xdr:col>
      <xdr:colOff>0</xdr:colOff>
      <xdr:row>101</xdr:row>
      <xdr:rowOff>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62763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0</xdr:colOff>
      <xdr:row>79</xdr:row>
      <xdr:rowOff>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6187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7</xdr:col>
      <xdr:colOff>0</xdr:colOff>
      <xdr:row>122</xdr:row>
      <xdr:rowOff>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0116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0</xdr:colOff>
      <xdr:row>80</xdr:row>
      <xdr:rowOff>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2801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7</xdr:col>
      <xdr:colOff>0</xdr:colOff>
      <xdr:row>71</xdr:row>
      <xdr:rowOff>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155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4389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0</xdr:colOff>
      <xdr:row>33</xdr:row>
      <xdr:rowOff>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4864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141</xdr:row>
      <xdr:rowOff>1</xdr:rowOff>
    </xdr:from>
    <xdr:to>
      <xdr:col>7</xdr:col>
      <xdr:colOff>1</xdr:colOff>
      <xdr:row>142</xdr:row>
      <xdr:rowOff>1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2377440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7</xdr:col>
      <xdr:colOff>0</xdr:colOff>
      <xdr:row>72</xdr:row>
      <xdr:rowOff>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3385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7</xdr:col>
      <xdr:colOff>0</xdr:colOff>
      <xdr:row>119</xdr:row>
      <xdr:rowOff>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568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20</xdr:row>
      <xdr:rowOff>1</xdr:rowOff>
    </xdr:from>
    <xdr:to>
      <xdr:col>7</xdr:col>
      <xdr:colOff>1</xdr:colOff>
      <xdr:row>21</xdr:row>
      <xdr:rowOff>1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1" y="3474721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17</xdr:col>
      <xdr:colOff>0</xdr:colOff>
      <xdr:row>71</xdr:row>
      <xdr:rowOff>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1155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5669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17</xdr:col>
      <xdr:colOff>0</xdr:colOff>
      <xdr:row>123</xdr:row>
      <xdr:rowOff>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20299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17</xdr:col>
      <xdr:colOff>0</xdr:colOff>
      <xdr:row>118</xdr:row>
      <xdr:rowOff>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9385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645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7</xdr:col>
      <xdr:colOff>0</xdr:colOff>
      <xdr:row>81</xdr:row>
      <xdr:rowOff>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7160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22128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0</xdr:colOff>
      <xdr:row>56</xdr:row>
      <xdr:rowOff>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89611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</xdr:row>
      <xdr:rowOff>106680</xdr:rowOff>
    </xdr:from>
    <xdr:to>
      <xdr:col>17</xdr:col>
      <xdr:colOff>0</xdr:colOff>
      <xdr:row>18</xdr:row>
      <xdr:rowOff>106680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3032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76200</xdr:rowOff>
    </xdr:from>
    <xdr:to>
      <xdr:col>2</xdr:col>
      <xdr:colOff>0</xdr:colOff>
      <xdr:row>102</xdr:row>
      <xdr:rowOff>76200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71">
          <a:extLst>
            <a:ext uri="{BEBA8EAE-BF5A-486C-A8C5-ECC9F3942E4B}">
              <a14:imgProps xmlns:a14="http://schemas.microsoft.com/office/drawing/2010/main">
                <a14:imgLayer r:embed="rId17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535400"/>
          <a:ext cx="182880" cy="18288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86</xdr:row>
      <xdr:rowOff>0</xdr:rowOff>
    </xdr:from>
    <xdr:ext cx="182880" cy="182880"/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71600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86</xdr:row>
      <xdr:rowOff>0</xdr:rowOff>
    </xdr:from>
    <xdr:ext cx="182880" cy="182880"/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371600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41</xdr:row>
      <xdr:rowOff>0</xdr:rowOff>
    </xdr:from>
    <xdr:to>
      <xdr:col>10</xdr:col>
      <xdr:colOff>0</xdr:colOff>
      <xdr:row>42</xdr:row>
      <xdr:rowOff>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6400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17</xdr:col>
      <xdr:colOff>0</xdr:colOff>
      <xdr:row>41</xdr:row>
      <xdr:rowOff>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6217920"/>
          <a:ext cx="182880" cy="18288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41</xdr:row>
      <xdr:rowOff>0</xdr:rowOff>
    </xdr:from>
    <xdr:ext cx="182880" cy="182880"/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640080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42</xdr:row>
      <xdr:rowOff>0</xdr:rowOff>
    </xdr:from>
    <xdr:ext cx="182880" cy="182880"/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658368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39</xdr:row>
      <xdr:rowOff>0</xdr:rowOff>
    </xdr:from>
    <xdr:ext cx="182880" cy="182880"/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603504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51</xdr:row>
      <xdr:rowOff>0</xdr:rowOff>
    </xdr:from>
    <xdr:ext cx="182880" cy="182880"/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859536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52</xdr:row>
      <xdr:rowOff>0</xdr:rowOff>
    </xdr:from>
    <xdr:ext cx="182880" cy="182880"/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877824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53</xdr:row>
      <xdr:rowOff>0</xdr:rowOff>
    </xdr:from>
    <xdr:ext cx="182880" cy="182880"/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896112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63</xdr:row>
      <xdr:rowOff>0</xdr:rowOff>
    </xdr:from>
    <xdr:to>
      <xdr:col>17</xdr:col>
      <xdr:colOff>0</xdr:colOff>
      <xdr:row>64</xdr:row>
      <xdr:rowOff>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0058400"/>
          <a:ext cx="182880" cy="18288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64</xdr:row>
      <xdr:rowOff>0</xdr:rowOff>
    </xdr:from>
    <xdr:ext cx="182880" cy="182880"/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02412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85</xdr:row>
      <xdr:rowOff>0</xdr:rowOff>
    </xdr:from>
    <xdr:to>
      <xdr:col>17</xdr:col>
      <xdr:colOff>0</xdr:colOff>
      <xdr:row>86</xdr:row>
      <xdr:rowOff>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3533120"/>
          <a:ext cx="182880" cy="18288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86</xdr:row>
      <xdr:rowOff>0</xdr:rowOff>
    </xdr:from>
    <xdr:ext cx="182880" cy="182880"/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371600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87</xdr:row>
      <xdr:rowOff>0</xdr:rowOff>
    </xdr:from>
    <xdr:ext cx="182880" cy="182880"/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389888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84</xdr:row>
      <xdr:rowOff>0</xdr:rowOff>
    </xdr:from>
    <xdr:ext cx="182880" cy="182880"/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335024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90</xdr:row>
      <xdr:rowOff>0</xdr:rowOff>
    </xdr:from>
    <xdr:ext cx="182880" cy="182880"/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444752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16</xdr:col>
      <xdr:colOff>0</xdr:colOff>
      <xdr:row>92</xdr:row>
      <xdr:rowOff>0</xdr:rowOff>
    </xdr:from>
    <xdr:to>
      <xdr:col>17</xdr:col>
      <xdr:colOff>0</xdr:colOff>
      <xdr:row>93</xdr:row>
      <xdr:rowOff>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4813280"/>
          <a:ext cx="182880" cy="18288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93</xdr:row>
      <xdr:rowOff>0</xdr:rowOff>
    </xdr:from>
    <xdr:ext cx="182880" cy="182880"/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499616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91</xdr:row>
      <xdr:rowOff>0</xdr:rowOff>
    </xdr:from>
    <xdr:ext cx="182880" cy="182880"/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463040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94</xdr:row>
      <xdr:rowOff>0</xdr:rowOff>
    </xdr:from>
    <xdr:ext cx="182880" cy="182880"/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517904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87</xdr:row>
      <xdr:rowOff>0</xdr:rowOff>
    </xdr:from>
    <xdr:ext cx="182880" cy="182880"/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38988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7</xdr:col>
      <xdr:colOff>0</xdr:colOff>
      <xdr:row>88</xdr:row>
      <xdr:rowOff>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898880"/>
          <a:ext cx="182880" cy="18288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88</xdr:row>
      <xdr:rowOff>0</xdr:rowOff>
    </xdr:from>
    <xdr:ext cx="182880" cy="182880"/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4081760"/>
          <a:ext cx="182880" cy="18288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88</xdr:row>
      <xdr:rowOff>0</xdr:rowOff>
    </xdr:from>
    <xdr:ext cx="182880" cy="182880"/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408176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94</xdr:row>
      <xdr:rowOff>0</xdr:rowOff>
    </xdr:from>
    <xdr:ext cx="182880" cy="182880"/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28800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94</xdr:row>
      <xdr:rowOff>0</xdr:rowOff>
    </xdr:from>
    <xdr:to>
      <xdr:col>10</xdr:col>
      <xdr:colOff>0</xdr:colOff>
      <xdr:row>95</xdr:row>
      <xdr:rowOff>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8288000"/>
          <a:ext cx="182880" cy="18288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95</xdr:row>
      <xdr:rowOff>0</xdr:rowOff>
    </xdr:from>
    <xdr:ext cx="182880" cy="182880"/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4708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95</xdr:row>
      <xdr:rowOff>0</xdr:rowOff>
    </xdr:from>
    <xdr:to>
      <xdr:col>10</xdr:col>
      <xdr:colOff>0</xdr:colOff>
      <xdr:row>96</xdr:row>
      <xdr:rowOff>0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8470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7</xdr:col>
      <xdr:colOff>0</xdr:colOff>
      <xdr:row>97</xdr:row>
      <xdr:rowOff>0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653760"/>
          <a:ext cx="182880" cy="1828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96</xdr:row>
      <xdr:rowOff>0</xdr:rowOff>
    </xdr:from>
    <xdr:ext cx="182880" cy="182880"/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960" y="18653760"/>
          <a:ext cx="182880" cy="18288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41</xdr:row>
      <xdr:rowOff>0</xdr:rowOff>
    </xdr:from>
    <xdr:ext cx="182880" cy="182880"/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621792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140</xdr:row>
      <xdr:rowOff>76200</xdr:rowOff>
    </xdr:from>
    <xdr:ext cx="182880" cy="182880"/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BEBA8EAE-BF5A-486C-A8C5-ECC9F3942E4B}">
              <a14:imgProps xmlns:a14="http://schemas.microsoft.com/office/drawing/2010/main">
                <a14:imgLayer r:embed="rId36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23667720"/>
          <a:ext cx="182880" cy="18288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104</xdr:row>
      <xdr:rowOff>91440</xdr:rowOff>
    </xdr:from>
    <xdr:ext cx="182880" cy="182880"/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BEBA8EAE-BF5A-486C-A8C5-ECC9F3942E4B}">
              <a14:imgProps xmlns:a14="http://schemas.microsoft.com/office/drawing/2010/main">
                <a14:imgLayer r:embed="rId89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709928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50</xdr:row>
      <xdr:rowOff>0</xdr:rowOff>
    </xdr:from>
    <xdr:ext cx="182880" cy="182880"/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841248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51</xdr:row>
      <xdr:rowOff>0</xdr:rowOff>
    </xdr:from>
    <xdr:ext cx="182880" cy="182880"/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859536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52</xdr:row>
      <xdr:rowOff>0</xdr:rowOff>
    </xdr:from>
    <xdr:ext cx="182880" cy="182880"/>
    <xdr:pic>
      <xdr:nvPicPr>
        <xdr:cNvPr id="219" name="Рисунок 21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877824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65</xdr:row>
      <xdr:rowOff>0</xdr:rowOff>
    </xdr:from>
    <xdr:ext cx="182880" cy="182880"/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115568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64</xdr:row>
      <xdr:rowOff>0</xdr:rowOff>
    </xdr:from>
    <xdr:to>
      <xdr:col>15</xdr:col>
      <xdr:colOff>0</xdr:colOff>
      <xdr:row>65</xdr:row>
      <xdr:rowOff>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0972800"/>
          <a:ext cx="182880" cy="18288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85</xdr:row>
      <xdr:rowOff>0</xdr:rowOff>
    </xdr:from>
    <xdr:ext cx="182880" cy="182880"/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353312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86</xdr:row>
      <xdr:rowOff>0</xdr:rowOff>
    </xdr:from>
    <xdr:to>
      <xdr:col>15</xdr:col>
      <xdr:colOff>0</xdr:colOff>
      <xdr:row>87</xdr:row>
      <xdr:rowOff>0</xdr:rowOff>
    </xdr:to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3716000"/>
          <a:ext cx="182880" cy="18288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84</xdr:row>
      <xdr:rowOff>0</xdr:rowOff>
    </xdr:from>
    <xdr:ext cx="182880" cy="182880"/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335024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91</xdr:row>
      <xdr:rowOff>0</xdr:rowOff>
    </xdr:from>
    <xdr:ext cx="182880" cy="182880"/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463040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92</xdr:row>
      <xdr:rowOff>0</xdr:rowOff>
    </xdr:from>
    <xdr:ext cx="182880" cy="182880"/>
    <xdr:pic>
      <xdr:nvPicPr>
        <xdr:cNvPr id="226" name="Рисунок 22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481328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93</xdr:row>
      <xdr:rowOff>0</xdr:rowOff>
    </xdr:from>
    <xdr:ext cx="182880" cy="182880"/>
    <xdr:pic>
      <xdr:nvPicPr>
        <xdr:cNvPr id="227" name="Рисунок 22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4996160"/>
          <a:ext cx="182880" cy="18288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41</xdr:row>
      <xdr:rowOff>0</xdr:rowOff>
    </xdr:from>
    <xdr:ext cx="182880" cy="182880"/>
    <xdr:pic>
      <xdr:nvPicPr>
        <xdr:cNvPr id="228" name="Рисунок 227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6400800"/>
          <a:ext cx="182880" cy="182880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pic>
      <xdr:nvPicPr>
        <xdr:cNvPr id="229" name="Рисунок 22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621792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0</xdr:colOff>
      <xdr:row>41</xdr:row>
      <xdr:rowOff>0</xdr:rowOff>
    </xdr:to>
    <xdr:pic>
      <xdr:nvPicPr>
        <xdr:cNvPr id="230" name="Рисунок 229"/>
        <xdr:cNvPicPr>
          <a:picLocks noChangeAspect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6400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pic>
      <xdr:nvPicPr>
        <xdr:cNvPr id="231" name="Рисунок 230"/>
        <xdr:cNvPicPr>
          <a:picLocks noChangeAspect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36576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pic>
      <xdr:nvPicPr>
        <xdr:cNvPr id="232" name="Рисунок 231"/>
        <xdr:cNvPicPr>
          <a:picLocks noChangeAspect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38404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7</xdr:col>
      <xdr:colOff>0</xdr:colOff>
      <xdr:row>57</xdr:row>
      <xdr:rowOff>0</xdr:rowOff>
    </xdr:to>
    <xdr:pic>
      <xdr:nvPicPr>
        <xdr:cNvPr id="233" name="Рисунок 232"/>
        <xdr:cNvPicPr>
          <a:picLocks noChangeAspect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509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69264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0</xdr:colOff>
      <xdr:row>82</xdr:row>
      <xdr:rowOff>0</xdr:rowOff>
    </xdr:to>
    <xdr:pic>
      <xdr:nvPicPr>
        <xdr:cNvPr id="236" name="Рисунок 235"/>
        <xdr:cNvPicPr>
          <a:picLocks noChangeAspect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38988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7</xdr:col>
      <xdr:colOff>0</xdr:colOff>
      <xdr:row>83</xdr:row>
      <xdr:rowOff>0</xdr:rowOff>
    </xdr:to>
    <xdr:pic>
      <xdr:nvPicPr>
        <xdr:cNvPr id="237" name="Рисунок 236"/>
        <xdr:cNvPicPr>
          <a:picLocks noChangeAspect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4081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0</xdr:colOff>
      <xdr:row>66</xdr:row>
      <xdr:rowOff>0</xdr:rowOff>
    </xdr:to>
    <xdr:pic>
      <xdr:nvPicPr>
        <xdr:cNvPr id="238" name="Рисунок 237"/>
        <xdr:cNvPicPr>
          <a:picLocks noChangeAspect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11556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pic>
      <xdr:nvPicPr>
        <xdr:cNvPr id="239" name="Рисунок 238"/>
        <xdr:cNvPicPr>
          <a:picLocks noChangeAspect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8521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34</xdr:row>
      <xdr:rowOff>0</xdr:rowOff>
    </xdr:to>
    <xdr:pic>
      <xdr:nvPicPr>
        <xdr:cNvPr id="240" name="Рисунок 239"/>
        <xdr:cNvPicPr>
          <a:picLocks noChangeAspect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566928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pic>
      <xdr:nvPicPr>
        <xdr:cNvPr id="234" name="Рисунок 233"/>
        <xdr:cNvPicPr>
          <a:picLocks noChangeAspect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493776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pic>
      <xdr:nvPicPr>
        <xdr:cNvPr id="241" name="Рисунок 240"/>
        <xdr:cNvPicPr>
          <a:picLocks noChangeAspect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828800"/>
          <a:ext cx="182880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7</xdr:col>
      <xdr:colOff>0</xdr:colOff>
      <xdr:row>107</xdr:row>
      <xdr:rowOff>0</xdr:rowOff>
    </xdr:to>
    <xdr:pic>
      <xdr:nvPicPr>
        <xdr:cNvPr id="242" name="Рисунок 241"/>
        <xdr:cNvPicPr>
          <a:picLocks noChangeAspect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19385280"/>
          <a:ext cx="18288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showZeros="0" tabSelected="1" workbookViewId="0"/>
  </sheetViews>
  <sheetFormatPr defaultRowHeight="14.4" x14ac:dyDescent="0.3"/>
  <cols>
    <col min="1" max="1" width="2" style="1" customWidth="1"/>
    <col min="2" max="2" width="19.77734375" style="1" customWidth="1"/>
    <col min="3" max="3" width="5.77734375" style="1" customWidth="1"/>
    <col min="4" max="5" width="3.33203125" style="1" customWidth="1"/>
    <col min="6" max="6" width="5.77734375" style="114" customWidth="1"/>
    <col min="7" max="7" width="2.77734375" style="1" customWidth="1"/>
    <col min="8" max="8" width="23" style="1" customWidth="1"/>
    <col min="9" max="10" width="5.33203125" style="1" customWidth="1"/>
    <col min="11" max="11" width="2.77734375" style="1" customWidth="1"/>
    <col min="12" max="12" width="12.21875" style="1" customWidth="1"/>
    <col min="13" max="13" width="16.33203125" style="1" customWidth="1"/>
    <col min="14" max="14" width="5.77734375" style="1" customWidth="1"/>
    <col min="15" max="16" width="3.33203125" style="1" customWidth="1"/>
    <col min="17" max="17" width="5.77734375" style="1" customWidth="1"/>
    <col min="18" max="18" width="2.77734375" style="1" customWidth="1"/>
    <col min="19" max="19" width="20.44140625" style="1" customWidth="1"/>
    <col min="20" max="20" width="5.77734375" style="114" customWidth="1"/>
    <col min="21" max="21" width="2.77734375" style="1" customWidth="1"/>
    <col min="22" max="22" width="20.44140625" style="1" customWidth="1"/>
    <col min="23" max="23" width="5.77734375" style="114" customWidth="1"/>
    <col min="24" max="24" width="2.77734375" style="1" customWidth="1"/>
    <col min="25" max="25" width="17.44140625" style="1" customWidth="1"/>
    <col min="26" max="26" width="8.88671875" style="1"/>
    <col min="27" max="27" width="6.33203125" style="1" hidden="1" customWidth="1"/>
    <col min="28" max="28" width="7.88671875" style="1" hidden="1" customWidth="1"/>
    <col min="29" max="29" width="17.5546875" style="1" hidden="1" customWidth="1"/>
    <col min="30" max="31" width="5.77734375" style="1" customWidth="1"/>
    <col min="32" max="16384" width="8.88671875" style="1"/>
  </cols>
  <sheetData>
    <row r="1" spans="2:29" ht="12.6" customHeight="1" thickBot="1" x14ac:dyDescent="0.35">
      <c r="D1" s="341"/>
      <c r="E1" s="341"/>
      <c r="I1" s="357"/>
      <c r="J1" s="357"/>
      <c r="N1" s="378" t="s">
        <v>71</v>
      </c>
      <c r="O1" s="378"/>
      <c r="P1" s="379" t="s">
        <v>161</v>
      </c>
      <c r="Q1" s="379"/>
      <c r="AB1" s="3" t="s">
        <v>30</v>
      </c>
    </row>
    <row r="2" spans="2:29" ht="15.6" thickTop="1" thickBot="1" x14ac:dyDescent="0.35">
      <c r="B2" s="4" t="s">
        <v>27</v>
      </c>
      <c r="D2" s="370"/>
      <c r="E2" s="371"/>
      <c r="H2" s="4" t="s">
        <v>8</v>
      </c>
      <c r="I2" s="361"/>
      <c r="J2" s="362"/>
      <c r="L2" s="359" t="s">
        <v>31</v>
      </c>
      <c r="M2" s="360"/>
      <c r="N2" s="380">
        <f>IF(I2=1,5,IF(AND(I2&lt;6,I2&gt;1),(5+I2-1),IF(AND(I2&lt;11,I2&gt;5),(I2*2-1),IF(AND(I2&gt;10),(11*2+(I2-11)*3),0))))+IF(T11=1,1*(I2-1),0)+IF(W6=1,2,0)</f>
        <v>0</v>
      </c>
      <c r="O2" s="381"/>
      <c r="P2" s="381">
        <f>IF((SUMPRODUCT((N5:N31=1)*1)+SUMPRODUCT((N5:N31=2)*3)+SUMPRODUCT((N5:N31=3)*6)+SUMPRODUCT((N5:N31=4)*10)+SUMPRODUCT((N5:N31=5)*15))&gt;N2+0,"!!!",(N2-(SUMPRODUCT((N5:N31=1)*1)+SUMPRODUCT((N5:N31=2)*3)+SUMPRODUCT((N5:N31=3)*6)+SUMPRODUCT((N5:N31=4)*10)+SUMPRODUCT((N5:N31=5)*15))))</f>
        <v>0</v>
      </c>
      <c r="Q2" s="382"/>
      <c r="S2" s="4" t="s">
        <v>33</v>
      </c>
      <c r="T2" s="5">
        <f>IF(AND(I2&lt;3,I2&gt;0),2,IF(AND(I2&lt;7,I2&gt;2),3,IF(AND(I2&lt;11,I2&gt;6),4,IF(AND(I2&lt;15,I2&gt;10),5,IF(AND(I2&lt;19,I2&gt;14),6,IF(I2&gt;18,7,0))))))</f>
        <v>0</v>
      </c>
      <c r="V2" s="6" t="s">
        <v>116</v>
      </c>
      <c r="W2" s="5">
        <f>IF((SUM(T5:T26)+SUM(W5:W27))&gt;T2+0,"!!!",T2-(SUM(T5:T26)+SUM(W5:W27)))</f>
        <v>0</v>
      </c>
      <c r="AB2" s="7" t="s">
        <v>28</v>
      </c>
    </row>
    <row r="3" spans="2:29" ht="7.05" customHeight="1" thickTop="1" x14ac:dyDescent="0.3">
      <c r="D3" s="344"/>
      <c r="E3" s="344"/>
      <c r="I3" s="321"/>
      <c r="J3" s="321"/>
      <c r="O3" s="321"/>
      <c r="P3" s="321"/>
      <c r="AB3" s="8" t="s">
        <v>29</v>
      </c>
    </row>
    <row r="4" spans="2:29" ht="15" thickBot="1" x14ac:dyDescent="0.35">
      <c r="C4" s="349" t="s">
        <v>71</v>
      </c>
      <c r="D4" s="349"/>
      <c r="E4" s="349" t="s">
        <v>161</v>
      </c>
      <c r="F4" s="349"/>
      <c r="H4" s="4" t="s">
        <v>6</v>
      </c>
      <c r="I4" s="322"/>
      <c r="J4" s="322"/>
      <c r="L4" s="4" t="s">
        <v>32</v>
      </c>
      <c r="N4" s="115" t="s">
        <v>68</v>
      </c>
      <c r="O4" s="386" t="s">
        <v>70</v>
      </c>
      <c r="P4" s="386"/>
      <c r="Q4" s="115" t="s">
        <v>69</v>
      </c>
      <c r="S4" s="4" t="s">
        <v>34</v>
      </c>
      <c r="V4" s="4"/>
      <c r="Y4" s="4" t="s">
        <v>41</v>
      </c>
      <c r="AC4" s="4"/>
    </row>
    <row r="5" spans="2:29" ht="15.6" thickTop="1" thickBot="1" x14ac:dyDescent="0.35">
      <c r="B5" s="9" t="s">
        <v>9</v>
      </c>
      <c r="C5" s="345">
        <f>IF(I2=1,5,IF(AND(I2&lt;4,I2&gt;1),6,IF(AND(I2&lt;6,I2&gt;3),7,IF(AND(I2&lt;8,I2&gt;5),8,IF(AND(I2&lt;10,I2&gt;7),9,IF(AND(I2&lt;12,I2&gt;9),10,IF(AND(I2&lt;14,I2&gt;11),11,IF(AND(I2&lt;16,I2&gt;13),12,IF(AND(I2&lt;18,I2&gt;15),13,IF(AND(I2&lt;20,I2&gt;17),14,IF(I2&gt;19,15,"0")))))))))))+IF(T6=1,1,0)</f>
        <v>0</v>
      </c>
      <c r="D5" s="346"/>
      <c r="E5" s="347">
        <f>IF(SUM(C8:C13)&gt;(30+C5),"!!!",(30+C5)-SUM(C8:C13))</f>
        <v>0</v>
      </c>
      <c r="F5" s="348"/>
      <c r="H5" s="1" t="s">
        <v>82</v>
      </c>
      <c r="I5" s="355">
        <f>Q5*10%+IF(AND(Y17&lt;4,Y17&gt;0),10%,IF(AND(Y17&lt;7,Y17&gt;3),15%,0))</f>
        <v>0</v>
      </c>
      <c r="J5" s="356"/>
      <c r="L5" s="342" t="s">
        <v>7</v>
      </c>
      <c r="M5" s="1" t="s">
        <v>35</v>
      </c>
      <c r="N5" s="10"/>
      <c r="O5" s="383"/>
      <c r="P5" s="383"/>
      <c r="Q5" s="11">
        <f t="shared" ref="Q5:Q10" si="0">N5+O5</f>
        <v>0</v>
      </c>
      <c r="S5" s="108" t="s">
        <v>118</v>
      </c>
      <c r="T5" s="76"/>
      <c r="V5" s="71" t="s">
        <v>67</v>
      </c>
      <c r="W5" s="79"/>
      <c r="Y5" s="12"/>
      <c r="AA5" s="13">
        <v>13.1</v>
      </c>
      <c r="AB5" s="14">
        <v>518.1</v>
      </c>
      <c r="AC5" s="14" t="s">
        <v>105</v>
      </c>
    </row>
    <row r="6" spans="2:29" ht="15" thickTop="1" x14ac:dyDescent="0.3">
      <c r="B6" s="108"/>
      <c r="C6" s="108"/>
      <c r="D6" s="372"/>
      <c r="E6" s="372"/>
      <c r="H6" s="1" t="s">
        <v>83</v>
      </c>
      <c r="I6" s="317">
        <f>Q6*10%+IF(AND(Y17&lt;4,Y17&gt;0),10%,IF(AND(Y17&lt;7,Y17&gt;3),15%,0))</f>
        <v>0</v>
      </c>
      <c r="J6" s="318"/>
      <c r="L6" s="342"/>
      <c r="M6" s="1" t="s">
        <v>36</v>
      </c>
      <c r="N6" s="15"/>
      <c r="O6" s="384"/>
      <c r="P6" s="384"/>
      <c r="Q6" s="16">
        <f t="shared" si="0"/>
        <v>0</v>
      </c>
      <c r="S6" s="108" t="s">
        <v>119</v>
      </c>
      <c r="T6" s="77"/>
      <c r="V6" s="108" t="s">
        <v>151</v>
      </c>
      <c r="W6" s="77"/>
      <c r="Y6" s="18"/>
      <c r="AA6" s="19">
        <v>20</v>
      </c>
      <c r="AB6" s="20">
        <v>559.79999999999995</v>
      </c>
      <c r="AC6" s="20" t="s">
        <v>106</v>
      </c>
    </row>
    <row r="7" spans="2:29" x14ac:dyDescent="0.3">
      <c r="B7" s="9" t="s">
        <v>10</v>
      </c>
      <c r="C7" s="115" t="s">
        <v>68</v>
      </c>
      <c r="D7" s="343" t="s">
        <v>70</v>
      </c>
      <c r="E7" s="343"/>
      <c r="F7" s="115" t="s">
        <v>69</v>
      </c>
      <c r="H7" s="1" t="s">
        <v>84</v>
      </c>
      <c r="I7" s="317">
        <f>Q7*10%+IF(AND(Y17&lt;4,Y17&gt;0),10%,IF(AND(Y17&lt;7,Y17&gt;3),15%,0))</f>
        <v>0</v>
      </c>
      <c r="J7" s="318"/>
      <c r="L7" s="342"/>
      <c r="M7" s="1" t="s">
        <v>37</v>
      </c>
      <c r="N7" s="15"/>
      <c r="O7" s="384"/>
      <c r="P7" s="384"/>
      <c r="Q7" s="16">
        <f t="shared" si="0"/>
        <v>0</v>
      </c>
      <c r="S7" s="108" t="s">
        <v>120</v>
      </c>
      <c r="T7" s="77"/>
      <c r="V7" s="71" t="s">
        <v>137</v>
      </c>
      <c r="W7" s="78"/>
      <c r="Y7" s="18"/>
      <c r="AA7" s="19">
        <v>27.4</v>
      </c>
      <c r="AB7" s="20">
        <v>604.4</v>
      </c>
      <c r="AC7" s="21"/>
    </row>
    <row r="8" spans="2:29" x14ac:dyDescent="0.3">
      <c r="B8" s="108" t="s">
        <v>0</v>
      </c>
      <c r="C8" s="22">
        <v>5</v>
      </c>
      <c r="D8" s="350"/>
      <c r="E8" s="351"/>
      <c r="F8" s="11">
        <f t="shared" ref="F8:F13" si="1">C8+D8</f>
        <v>5</v>
      </c>
      <c r="H8" s="1" t="s">
        <v>85</v>
      </c>
      <c r="I8" s="317">
        <f>Q8*10%+IF(AND(Y17&lt;4,Y17&gt;0),10%,IF(AND(Y17&lt;7,Y17&gt;3),15%,0))</f>
        <v>0</v>
      </c>
      <c r="J8" s="318"/>
      <c r="L8" s="342"/>
      <c r="M8" s="1" t="s">
        <v>38</v>
      </c>
      <c r="N8" s="23"/>
      <c r="O8" s="385"/>
      <c r="P8" s="385"/>
      <c r="Q8" s="24">
        <f t="shared" si="0"/>
        <v>0</v>
      </c>
      <c r="S8" s="108" t="s">
        <v>121</v>
      </c>
      <c r="T8" s="77"/>
      <c r="V8" s="71" t="s">
        <v>138</v>
      </c>
      <c r="W8" s="17"/>
      <c r="Y8" s="18"/>
      <c r="AA8" s="19">
        <v>35.299999999999997</v>
      </c>
      <c r="AB8" s="20">
        <v>652.1</v>
      </c>
      <c r="AC8" s="20" t="s">
        <v>89</v>
      </c>
    </row>
    <row r="9" spans="2:29" x14ac:dyDescent="0.3">
      <c r="B9" s="108" t="s">
        <v>1</v>
      </c>
      <c r="C9" s="25">
        <v>5</v>
      </c>
      <c r="D9" s="352"/>
      <c r="E9" s="353"/>
      <c r="F9" s="16">
        <f t="shared" si="1"/>
        <v>5</v>
      </c>
      <c r="H9" s="1" t="s">
        <v>16</v>
      </c>
      <c r="I9" s="26">
        <f>Q9*5%+IF(Y17&gt;3,10%,0)</f>
        <v>0</v>
      </c>
      <c r="J9" s="27">
        <f>IF(W20=1,5+Q17*2,0)</f>
        <v>0</v>
      </c>
      <c r="L9" s="342" t="s">
        <v>39</v>
      </c>
      <c r="M9" s="1" t="s">
        <v>44</v>
      </c>
      <c r="N9" s="10"/>
      <c r="O9" s="383"/>
      <c r="P9" s="383"/>
      <c r="Q9" s="11">
        <f t="shared" si="0"/>
        <v>0</v>
      </c>
      <c r="S9" s="108" t="s">
        <v>122</v>
      </c>
      <c r="T9" s="77"/>
      <c r="V9" s="71" t="s">
        <v>139</v>
      </c>
      <c r="W9" s="78"/>
      <c r="Y9" s="18"/>
      <c r="AA9" s="19">
        <v>43.7</v>
      </c>
      <c r="AB9" s="28">
        <v>703</v>
      </c>
      <c r="AC9" s="20" t="s">
        <v>90</v>
      </c>
    </row>
    <row r="10" spans="2:29" x14ac:dyDescent="0.3">
      <c r="B10" s="108" t="s">
        <v>2</v>
      </c>
      <c r="C10" s="25">
        <v>5</v>
      </c>
      <c r="D10" s="352"/>
      <c r="E10" s="353"/>
      <c r="F10" s="16">
        <f>C10+D10+IF(T14=1,1,0)-IF(W12=1,1,0)</f>
        <v>5</v>
      </c>
      <c r="H10" s="1" t="s">
        <v>17</v>
      </c>
      <c r="I10" s="317">
        <f>Q10*5%</f>
        <v>0</v>
      </c>
      <c r="J10" s="318"/>
      <c r="L10" s="342"/>
      <c r="M10" s="1" t="s">
        <v>45</v>
      </c>
      <c r="N10" s="15"/>
      <c r="O10" s="384"/>
      <c r="P10" s="384"/>
      <c r="Q10" s="16">
        <f t="shared" si="0"/>
        <v>0</v>
      </c>
      <c r="S10" s="71" t="s">
        <v>123</v>
      </c>
      <c r="T10" s="78"/>
      <c r="V10" s="108" t="s">
        <v>152</v>
      </c>
      <c r="W10" s="77"/>
      <c r="Y10" s="18"/>
      <c r="AA10" s="19">
        <v>52.7</v>
      </c>
      <c r="AB10" s="29"/>
      <c r="AC10" s="21"/>
    </row>
    <row r="11" spans="2:29" x14ac:dyDescent="0.3">
      <c r="B11" s="108" t="s">
        <v>3</v>
      </c>
      <c r="C11" s="25">
        <v>5</v>
      </c>
      <c r="D11" s="352"/>
      <c r="E11" s="353"/>
      <c r="F11" s="16">
        <f>C11+D11</f>
        <v>5</v>
      </c>
      <c r="H11" s="1" t="s">
        <v>18</v>
      </c>
      <c r="I11" s="317">
        <f>MAX((F13-5)*2%+IF(Y17&gt;2,2%,0)+IF(Y13="Сострадание",3%,0),0)</f>
        <v>0</v>
      </c>
      <c r="J11" s="318"/>
      <c r="L11" s="342"/>
      <c r="M11" s="1" t="s">
        <v>46</v>
      </c>
      <c r="N11" s="15"/>
      <c r="O11" s="384"/>
      <c r="P11" s="384"/>
      <c r="Q11" s="16">
        <f>N11+O11+IF(Y17=6,1,0)-IF(AND(Y17=6,Y6="Исполнительность"),1,0)</f>
        <v>0</v>
      </c>
      <c r="S11" s="71" t="s">
        <v>124</v>
      </c>
      <c r="T11" s="78"/>
      <c r="V11" s="71" t="s">
        <v>140</v>
      </c>
      <c r="W11" s="17"/>
      <c r="Y11" s="18"/>
      <c r="AA11" s="19">
        <v>62.3</v>
      </c>
      <c r="AB11" s="29"/>
      <c r="AC11" s="20" t="s">
        <v>91</v>
      </c>
    </row>
    <row r="12" spans="2:29" x14ac:dyDescent="0.3">
      <c r="B12" s="108" t="s">
        <v>4</v>
      </c>
      <c r="C12" s="25">
        <v>5</v>
      </c>
      <c r="D12" s="352"/>
      <c r="E12" s="353"/>
      <c r="F12" s="16">
        <f t="shared" si="1"/>
        <v>5</v>
      </c>
      <c r="H12" s="1" t="s">
        <v>72</v>
      </c>
      <c r="I12" s="323">
        <f>40+F8*6+Q24*3</f>
        <v>70</v>
      </c>
      <c r="J12" s="324"/>
      <c r="L12" s="342"/>
      <c r="M12" s="1" t="s">
        <v>47</v>
      </c>
      <c r="N12" s="23"/>
      <c r="O12" s="385"/>
      <c r="P12" s="385"/>
      <c r="Q12" s="24">
        <f>N12+O12+IF(Y17&gt;4,1,0)+IF(Y6="Независимость",1,0)+IF(AND(Y6="Исполнительность",Y17&gt;0),1,0)</f>
        <v>0</v>
      </c>
      <c r="S12" s="71" t="s">
        <v>125</v>
      </c>
      <c r="T12" s="78"/>
      <c r="V12" s="71" t="s">
        <v>141</v>
      </c>
      <c r="W12" s="17"/>
      <c r="Y12" s="18"/>
      <c r="AA12" s="19">
        <v>72.599999999999994</v>
      </c>
      <c r="AB12" s="30">
        <v>1</v>
      </c>
      <c r="AC12" s="20" t="s">
        <v>92</v>
      </c>
    </row>
    <row r="13" spans="2:29" x14ac:dyDescent="0.3">
      <c r="B13" s="108" t="s">
        <v>5</v>
      </c>
      <c r="C13" s="31">
        <v>5</v>
      </c>
      <c r="D13" s="376"/>
      <c r="E13" s="377"/>
      <c r="F13" s="24">
        <f t="shared" si="1"/>
        <v>5</v>
      </c>
      <c r="H13" s="1" t="s">
        <v>73</v>
      </c>
      <c r="I13" s="323">
        <f>40+F9*6+Q24*3</f>
        <v>70</v>
      </c>
      <c r="J13" s="324"/>
      <c r="L13" s="342" t="s">
        <v>40</v>
      </c>
      <c r="M13" s="1" t="s">
        <v>48</v>
      </c>
      <c r="N13" s="10"/>
      <c r="O13" s="383"/>
      <c r="P13" s="383"/>
      <c r="Q13" s="11">
        <f t="shared" ref="Q13:Q20" si="2">N13+O13</f>
        <v>0</v>
      </c>
      <c r="S13" s="108" t="s">
        <v>126</v>
      </c>
      <c r="T13" s="77"/>
      <c r="V13" s="71" t="s">
        <v>142</v>
      </c>
      <c r="W13" s="78"/>
      <c r="Y13" s="32"/>
      <c r="AA13" s="19">
        <v>83.6</v>
      </c>
      <c r="AB13" s="33">
        <v>2</v>
      </c>
      <c r="AC13" s="21"/>
    </row>
    <row r="14" spans="2:29" x14ac:dyDescent="0.3">
      <c r="C14" s="108"/>
      <c r="D14" s="375"/>
      <c r="E14" s="375"/>
      <c r="F14" s="112"/>
      <c r="H14" s="1" t="s">
        <v>74</v>
      </c>
      <c r="I14" s="323">
        <f>40+F10*6+Q24*3</f>
        <v>70</v>
      </c>
      <c r="J14" s="324"/>
      <c r="L14" s="342"/>
      <c r="M14" s="1" t="s">
        <v>49</v>
      </c>
      <c r="N14" s="15"/>
      <c r="O14" s="384"/>
      <c r="P14" s="384"/>
      <c r="Q14" s="16">
        <f t="shared" si="2"/>
        <v>0</v>
      </c>
      <c r="S14" s="71" t="s">
        <v>127</v>
      </c>
      <c r="T14" s="78"/>
      <c r="V14" s="71" t="s">
        <v>143</v>
      </c>
      <c r="W14" s="17"/>
      <c r="AA14" s="19">
        <v>95.4</v>
      </c>
      <c r="AB14" s="33">
        <v>3</v>
      </c>
      <c r="AC14" s="20" t="s">
        <v>93</v>
      </c>
    </row>
    <row r="15" spans="2:29" x14ac:dyDescent="0.3">
      <c r="B15" s="4" t="s">
        <v>6</v>
      </c>
      <c r="C15" s="108"/>
      <c r="D15" s="374"/>
      <c r="E15" s="374"/>
      <c r="F15" s="39">
        <f>MAX(F13-5,0)</f>
        <v>0</v>
      </c>
      <c r="H15" s="1" t="s">
        <v>19</v>
      </c>
      <c r="I15" s="325">
        <f>MAX(I2*4+(F9-5)*5,0)</f>
        <v>0</v>
      </c>
      <c r="J15" s="326"/>
      <c r="L15" s="342"/>
      <c r="M15" s="1" t="s">
        <v>50</v>
      </c>
      <c r="N15" s="15"/>
      <c r="O15" s="384"/>
      <c r="P15" s="384"/>
      <c r="Q15" s="16">
        <f t="shared" si="2"/>
        <v>0</v>
      </c>
      <c r="S15" s="108" t="s">
        <v>128</v>
      </c>
      <c r="T15" s="77"/>
      <c r="V15" s="108" t="s">
        <v>153</v>
      </c>
      <c r="W15" s="77"/>
      <c r="AA15" s="19">
        <v>107.9</v>
      </c>
      <c r="AB15" s="33">
        <v>4</v>
      </c>
      <c r="AC15" s="20" t="s">
        <v>94</v>
      </c>
    </row>
    <row r="16" spans="2:29" ht="15" thickBot="1" x14ac:dyDescent="0.35">
      <c r="B16" s="1" t="s">
        <v>80</v>
      </c>
      <c r="D16" s="331">
        <f>IF(AND(F11=0,I2&gt;0),((I2+1)/2*AA5),IF(AND(F11=1,I2&gt;0),((I2+1)/2*AA6),IF(AND(F11=2,I2&gt;0),((I2+1)/2*AA7),IF(AND(F11=3,I2&gt;0),((I2+1)/2*AA8),IF(AND(F11=4,I2&gt;0),((I2+1)/2*AA9),IF(AND(F11=5,I2&gt;0),((I2+1)/2*AA10),IF(AND(F11=6,I2&gt;0),((I2+1)/2*AA11),IF(AND(F11=7,I2&gt;0),((I2+1)/2*AA12),IF(AND(F11=8,I2&gt;0),((I2+1)/2*AA13),IF(AND(F11=9,I2&gt;0),((I2+1)/2*AA14),IF(AND(F11=10,I2&gt;0),((I2+1)/2*AA15),IF(AND(F11=11,I2&gt;0),((I2+1)/2*AA16),IF(AND(F11=12,I2&gt;0),((I2+1)/2*AA17),IF(AND(F11=13,I2&gt;0),((I2+1)/2*AA18),IF(AND(F11=14,I2&gt;0),((I2+1)/2*AA19),IF(AND(F11=15,I2&gt;0),((I2+1)/2*AA20),IF(AND(F11=16,I2&gt;0),((I2+1)/2*AA21),IF(AND(F11=17,I2&gt;0),((I2+1)/2*AA22),IF(AND(F11=18,I2&gt;0),((I2+1)/2*AA23),IF(AND(F11=19,I2&gt;0),((I2+1)/2*AA24),IF(AND(F11=20,I2&gt;0),((I2+1)/2*AA25),IF(AND(F11=21,I2&gt;0),((I2+1)/2*AA26),IF(AND(F11=22,I2&gt;0),((I2+1)/2*AA27),IF(AND(F11=23,I2&gt;0),((I2+1)/2*AA28),IF(AND(F11=24,I2&gt;0),((I2+1)/2*AA29),IF(AND(F11=25,I2&gt;0),((I2+1)/2*AA30),IF(AND(F11=26,I2&gt;0),((I2+1)/2*AA31),IF(AND(F11=27,I2&gt;0),((I2+1)/2*AB5),IF(AND(F11=28,I2&gt;0),((I2+1)/2*AB6),IF(AND(F11=29,I2&gt;0),((I2+1)/2*AB7),IF(AND(F11=30,I2&gt;0),((I2+1)/2*AB8),IF(AND(F11=31,I2&gt;0),((I2+1)/2*AB9),0))))))))))))))))))))))))))))))))</f>
        <v>0</v>
      </c>
      <c r="E16" s="332"/>
      <c r="I16" s="358"/>
      <c r="J16" s="358"/>
      <c r="L16" s="342"/>
      <c r="M16" s="1" t="s">
        <v>51</v>
      </c>
      <c r="N16" s="15"/>
      <c r="O16" s="384"/>
      <c r="P16" s="384"/>
      <c r="Q16" s="16">
        <f t="shared" si="2"/>
        <v>0</v>
      </c>
      <c r="S16" s="108" t="s">
        <v>129</v>
      </c>
      <c r="T16" s="77"/>
      <c r="V16" s="108" t="s">
        <v>154</v>
      </c>
      <c r="W16" s="77"/>
      <c r="Y16" s="4" t="s">
        <v>109</v>
      </c>
      <c r="AA16" s="19">
        <v>121.4</v>
      </c>
      <c r="AB16" s="33">
        <v>5</v>
      </c>
      <c r="AC16" s="21"/>
    </row>
    <row r="17" spans="2:29" ht="15.6" thickTop="1" thickBot="1" x14ac:dyDescent="0.35">
      <c r="B17" s="1" t="s">
        <v>81</v>
      </c>
      <c r="D17" s="333">
        <f>IF(AND(D2="легко",T11="",T13="",W18=""),ROUNDDOWN(D16*1.6,0),IF(AND(D2="легко",T11=1,T13="",W18=""),ROUNDDOWN(D16*2.3,0),IF(AND(D2="легко",T11="",T13=1,W18=""),ROUNDDOWN(D16*(1.6+Q17*0.05),0),IF(AND(D2="легко",T11="",T13="",W18=1),ROUNDDOWN(D16*1.1,0),IF(AND(D2="легко",T11=1,T13=1,W18=""),ROUNDDOWN(D16*(2.3+Q17*0.05),0),IF(AND(D2="легко",T11=1,T13="",W18=1),ROUNDDOWN(D16*1.8,0),IF(AND(D2="легко",T11="",T13=1,W18=1),ROUNDDOWN(D16*(1.1+Q17*0.05),0),IF(AND(D2="легко",T11=1,T13=1,W18=1),ROUNDDOWN(D16*(1.8+Q17*0.05),0),IF(AND(D2="норма",T11="",T13="",W18=""),ROUNDDOWN(D16*1.15,0),IF(AND(D2="норма",T11=1,T13="",W18=""),ROUNDDOWN(D16*1.85,0),IF(AND(D2="норма",T11="",T13=1,W18=""),ROUNDDOWN(D16*(1.15+Q17*0.05),0),IF(AND(D2="норма",T11="",T13="",W18=1),ROUNDDOWN(D16*0.65,0),IF(AND(D2="норма",T11=1,T13=1,W18=""),ROUNDDOWN(D16*(1.85+Q17*0.05),0),IF(AND(D2="норма",T11=1,T13="",W18=1),ROUNDDOWN(D16*1.35,0),IF(AND(D2="норма",T11="",T13=1,W18=1),ROUNDDOWN(D16*(0.65+Q17*0.05),0),IF(AND(D2="норма",T11=1,T13=1,W18=1),ROUNDDOWN(D16*(1.35+Q17*0.05),0),IF(AND(D2="сложно",T11="",T13="",W18=""),ROUNDDOWN(D16*0.75,0),IF(AND(D2="сложно",T11=1,T13="",W18=""),ROUNDDOWN(D16*1.45,0),IF(AND(D2="сложно",T11="",T13=1,W18=""),ROUNDDOWN(D16*(0.75+Q17*0.05),0),IF(AND(D2="сложно",T11="",T13="",W18=1),ROUNDDOWN(D16*0.25,0),IF(AND(D2="сложно",T11=1,T13=1,W18=""),ROUNDDOWN(D16*(1.45+Q17*0.05),0),IF(AND(D2="сложно",T11=1,T13="",W18=1),ROUNDDOWN(D16*0.95,0),IF(AND(D2="сложно",T11="",T13=1,W18=1),ROUNDDOWN(D16*(0.25+Q17*0.05),0),IF(AND(D2="сложно",T11=1,T13=1,W18=1),ROUNDDOWN(D16*(0.95+Q17*0.05),0),0))))))))))))))))))))))))</f>
        <v>0</v>
      </c>
      <c r="E17" s="334"/>
      <c r="H17" s="1" t="s">
        <v>11</v>
      </c>
      <c r="I17" s="327">
        <v>18.5</v>
      </c>
      <c r="J17" s="328"/>
      <c r="L17" s="342"/>
      <c r="M17" s="1" t="s">
        <v>52</v>
      </c>
      <c r="N17" s="15"/>
      <c r="O17" s="384"/>
      <c r="P17" s="384"/>
      <c r="Q17" s="16">
        <f t="shared" si="2"/>
        <v>0</v>
      </c>
      <c r="S17" s="108" t="s">
        <v>130</v>
      </c>
      <c r="T17" s="77"/>
      <c r="V17" s="71" t="s">
        <v>144</v>
      </c>
      <c r="W17" s="17"/>
      <c r="Y17" s="35"/>
      <c r="AA17" s="19">
        <v>135.69999999999999</v>
      </c>
      <c r="AB17" s="33">
        <v>6</v>
      </c>
      <c r="AC17" s="20" t="s">
        <v>95</v>
      </c>
    </row>
    <row r="18" spans="2:29" ht="15" thickTop="1" x14ac:dyDescent="0.3">
      <c r="B18" s="1" t="s">
        <v>76</v>
      </c>
      <c r="D18" s="329">
        <f>7+F11+IF(T11=1,2,0)</f>
        <v>12</v>
      </c>
      <c r="E18" s="330"/>
      <c r="H18" s="1" t="s">
        <v>12</v>
      </c>
      <c r="I18" s="329">
        <f>8+F13</f>
        <v>13</v>
      </c>
      <c r="J18" s="330"/>
      <c r="L18" s="342"/>
      <c r="M18" s="1" t="s">
        <v>53</v>
      </c>
      <c r="N18" s="15"/>
      <c r="O18" s="384"/>
      <c r="P18" s="384"/>
      <c r="Q18" s="16">
        <f t="shared" si="2"/>
        <v>0</v>
      </c>
      <c r="S18" s="71" t="s">
        <v>131</v>
      </c>
      <c r="T18" s="78"/>
      <c r="V18" s="108" t="s">
        <v>155</v>
      </c>
      <c r="W18" s="77"/>
      <c r="AA18" s="19">
        <v>151</v>
      </c>
      <c r="AB18" s="8"/>
      <c r="AC18" s="20" t="s">
        <v>96</v>
      </c>
    </row>
    <row r="19" spans="2:29" x14ac:dyDescent="0.3">
      <c r="B19" s="1" t="s">
        <v>77</v>
      </c>
      <c r="D19" s="329">
        <f>2+(F12+F13)*0.5-0.0001</f>
        <v>6.9999000000000002</v>
      </c>
      <c r="E19" s="330"/>
      <c r="H19" s="1" t="s">
        <v>13</v>
      </c>
      <c r="I19" s="323">
        <f>1+F12/10+IF(T8=1,(1+F12/10)/5,0)</f>
        <v>1.5</v>
      </c>
      <c r="J19" s="324"/>
      <c r="L19" s="342"/>
      <c r="M19" s="1" t="s">
        <v>54</v>
      </c>
      <c r="N19" s="15"/>
      <c r="O19" s="384"/>
      <c r="P19" s="384"/>
      <c r="Q19" s="16">
        <f t="shared" si="2"/>
        <v>0</v>
      </c>
      <c r="S19" s="71" t="s">
        <v>132</v>
      </c>
      <c r="T19" s="78"/>
      <c r="V19" s="108" t="s">
        <v>156</v>
      </c>
      <c r="W19" s="77"/>
      <c r="AA19" s="19">
        <v>167.4</v>
      </c>
      <c r="AB19" s="29"/>
      <c r="AC19" s="21"/>
    </row>
    <row r="20" spans="2:29" x14ac:dyDescent="0.3">
      <c r="B20" s="1" t="s">
        <v>78</v>
      </c>
      <c r="D20" s="329">
        <f>(3.5+F12*0.5-0.0001+IF(T11=1,2,0))*IF(W18=1,2,1)</f>
        <v>5.9999000000000002</v>
      </c>
      <c r="E20" s="330"/>
      <c r="H20" s="1" t="s">
        <v>15</v>
      </c>
      <c r="I20" s="337">
        <f>10+F8*20*IF(T19=1,2,1)</f>
        <v>110</v>
      </c>
      <c r="J20" s="338"/>
      <c r="L20" s="342"/>
      <c r="M20" s="1" t="s">
        <v>55</v>
      </c>
      <c r="N20" s="23"/>
      <c r="O20" s="385"/>
      <c r="P20" s="385"/>
      <c r="Q20" s="24">
        <f t="shared" si="2"/>
        <v>0</v>
      </c>
      <c r="S20" s="71" t="s">
        <v>133</v>
      </c>
      <c r="T20" s="78"/>
      <c r="V20" s="71" t="s">
        <v>145</v>
      </c>
      <c r="W20" s="78"/>
      <c r="AA20" s="19">
        <v>185</v>
      </c>
      <c r="AB20" s="29"/>
      <c r="AC20" s="20" t="s">
        <v>97</v>
      </c>
    </row>
    <row r="21" spans="2:29" x14ac:dyDescent="0.3">
      <c r="B21" s="1" t="s">
        <v>108</v>
      </c>
      <c r="D21" s="335">
        <f>IF(Y5="Альтруизм",2,0)</f>
        <v>0</v>
      </c>
      <c r="E21" s="336"/>
      <c r="I21" s="339"/>
      <c r="J21" s="339"/>
      <c r="L21" s="342" t="s">
        <v>41</v>
      </c>
      <c r="M21" s="1" t="s">
        <v>56</v>
      </c>
      <c r="N21" s="10"/>
      <c r="O21" s="383"/>
      <c r="P21" s="383"/>
      <c r="Q21" s="11">
        <f>N21+O21+IF(Y5="Эгоизм",1,0)</f>
        <v>0</v>
      </c>
      <c r="S21" s="108" t="s">
        <v>134</v>
      </c>
      <c r="T21" s="77"/>
      <c r="V21" s="71" t="s">
        <v>146</v>
      </c>
      <c r="W21" s="17"/>
      <c r="AA21" s="19">
        <v>203.7</v>
      </c>
      <c r="AB21" s="29"/>
      <c r="AC21" s="20" t="s">
        <v>98</v>
      </c>
    </row>
    <row r="22" spans="2:29" x14ac:dyDescent="0.3">
      <c r="B22" s="1" t="s">
        <v>14</v>
      </c>
      <c r="D22" s="337">
        <f>ROUNDDOWN(F12/2+F13/2,0)+IF(AND(Y17&lt;4,Y17&gt;0),5,IF(AND(Y17&lt;7,Y17&gt;3),10,0))+IF(Y10="Храбрость",1,0)</f>
        <v>5</v>
      </c>
      <c r="E22" s="338"/>
      <c r="H22" s="1" t="s">
        <v>75</v>
      </c>
      <c r="I22" s="327">
        <f>IF(F10&gt;4,-ROUNDDOWN((F10-4)/2,0),0)</f>
        <v>0</v>
      </c>
      <c r="J22" s="328"/>
      <c r="L22" s="342"/>
      <c r="M22" s="1" t="s">
        <v>57</v>
      </c>
      <c r="N22" s="15"/>
      <c r="O22" s="384"/>
      <c r="P22" s="384"/>
      <c r="Q22" s="16">
        <f>N22+O22+IF(Y8="Праведность",1,0)</f>
        <v>0</v>
      </c>
      <c r="S22" s="71" t="s">
        <v>135</v>
      </c>
      <c r="T22" s="78"/>
      <c r="V22" s="108" t="s">
        <v>157</v>
      </c>
      <c r="W22" s="77"/>
      <c r="AA22" s="19">
        <v>223.7</v>
      </c>
      <c r="AB22" s="29"/>
      <c r="AC22" s="21"/>
    </row>
    <row r="23" spans="2:29" x14ac:dyDescent="0.3">
      <c r="D23" s="314"/>
      <c r="E23" s="314"/>
      <c r="H23" s="1" t="s">
        <v>79</v>
      </c>
      <c r="I23" s="363">
        <f>-F13*0.4</f>
        <v>-2</v>
      </c>
      <c r="J23" s="364"/>
      <c r="L23" s="342"/>
      <c r="M23" s="1" t="s">
        <v>58</v>
      </c>
      <c r="N23" s="15"/>
      <c r="O23" s="384"/>
      <c r="P23" s="384"/>
      <c r="Q23" s="16">
        <f>N23+O23+IF(Y9="Отзывчивость",1,0)+IF(W12=1,2,0)</f>
        <v>0</v>
      </c>
      <c r="S23" s="71" t="s">
        <v>136</v>
      </c>
      <c r="T23" s="78"/>
      <c r="V23" s="108" t="s">
        <v>158</v>
      </c>
      <c r="W23" s="77"/>
      <c r="AA23" s="19">
        <v>245.2</v>
      </c>
      <c r="AB23" s="29"/>
      <c r="AC23" s="20" t="s">
        <v>99</v>
      </c>
    </row>
    <row r="24" spans="2:29" x14ac:dyDescent="0.3">
      <c r="C24" s="9"/>
      <c r="D24" s="373"/>
      <c r="E24" s="373"/>
      <c r="H24" s="1" t="s">
        <v>86</v>
      </c>
      <c r="I24" s="317">
        <f>-Q9*20%</f>
        <v>0</v>
      </c>
      <c r="J24" s="318"/>
      <c r="L24" s="342"/>
      <c r="M24" s="1" t="s">
        <v>59</v>
      </c>
      <c r="N24" s="23"/>
      <c r="O24" s="385"/>
      <c r="P24" s="385"/>
      <c r="Q24" s="24">
        <f>N24+O24+IF(Y7="Романтичность",1,0)</f>
        <v>0</v>
      </c>
      <c r="S24" s="108" t="s">
        <v>149</v>
      </c>
      <c r="T24" s="77"/>
      <c r="V24" s="71" t="s">
        <v>147</v>
      </c>
      <c r="W24" s="17"/>
      <c r="Y24" s="36"/>
      <c r="AA24" s="19">
        <v>268.10000000000002</v>
      </c>
      <c r="AB24" s="7"/>
      <c r="AC24" s="20" t="s">
        <v>100</v>
      </c>
    </row>
    <row r="25" spans="2:29" x14ac:dyDescent="0.3">
      <c r="B25" s="9" t="s">
        <v>20</v>
      </c>
      <c r="C25" s="109"/>
      <c r="D25" s="354"/>
      <c r="E25" s="354"/>
      <c r="H25" s="1" t="s">
        <v>87</v>
      </c>
      <c r="I25" s="365">
        <f>Q11*10/100</f>
        <v>0</v>
      </c>
      <c r="J25" s="366"/>
      <c r="L25" s="342" t="s">
        <v>42</v>
      </c>
      <c r="M25" s="1" t="s">
        <v>60</v>
      </c>
      <c r="N25" s="10"/>
      <c r="O25" s="383"/>
      <c r="P25" s="383"/>
      <c r="Q25" s="11">
        <f>N25+O25+IF(Y11="Материализм",1,0)</f>
        <v>0</v>
      </c>
      <c r="S25" s="71" t="s">
        <v>117</v>
      </c>
      <c r="T25" s="78"/>
      <c r="V25" s="71" t="s">
        <v>148</v>
      </c>
      <c r="W25" s="78"/>
      <c r="AA25" s="19">
        <v>292.5</v>
      </c>
      <c r="AC25" s="21"/>
    </row>
    <row r="26" spans="2:29" x14ac:dyDescent="0.3">
      <c r="B26" s="108" t="s">
        <v>21</v>
      </c>
      <c r="C26" s="109"/>
      <c r="D26" s="355">
        <f>IF(T26=1,-25%,0)+IF(W16=1,Q17*5%,0)</f>
        <v>0</v>
      </c>
      <c r="E26" s="356"/>
      <c r="H26" s="1" t="s">
        <v>88</v>
      </c>
      <c r="I26" s="315">
        <f>Q12*10/100</f>
        <v>0</v>
      </c>
      <c r="J26" s="316"/>
      <c r="L26" s="342"/>
      <c r="M26" s="1" t="s">
        <v>61</v>
      </c>
      <c r="N26" s="15"/>
      <c r="O26" s="384"/>
      <c r="P26" s="384"/>
      <c r="Q26" s="16">
        <f>N26+O26+IF(W24=1,1,0)</f>
        <v>0</v>
      </c>
      <c r="S26" s="108" t="s">
        <v>150</v>
      </c>
      <c r="T26" s="38"/>
      <c r="V26" s="108" t="s">
        <v>159</v>
      </c>
      <c r="W26" s="77"/>
      <c r="AA26" s="19">
        <v>318.7</v>
      </c>
      <c r="AC26" s="20" t="s">
        <v>101</v>
      </c>
    </row>
    <row r="27" spans="2:29" x14ac:dyDescent="0.3">
      <c r="B27" s="108" t="s">
        <v>22</v>
      </c>
      <c r="C27" s="109"/>
      <c r="D27" s="317">
        <f>IF(T21=1,-25%,0)+IF(W16=1,Q17*5%,0)</f>
        <v>0</v>
      </c>
      <c r="E27" s="318"/>
      <c r="H27" s="1" t="s">
        <v>110</v>
      </c>
      <c r="I27" s="72">
        <f>IF(D2="легко",20%,IF(D2="сложно",-10%,0))</f>
        <v>0</v>
      </c>
      <c r="J27" s="73">
        <f>IF(Y17&gt;1,10%,0)</f>
        <v>0</v>
      </c>
      <c r="L27" s="342"/>
      <c r="M27" s="1" t="s">
        <v>62</v>
      </c>
      <c r="N27" s="15"/>
      <c r="O27" s="384"/>
      <c r="P27" s="384"/>
      <c r="Q27" s="16">
        <f>N27+O27+IF(Y7="Прагматизм",1,0)+IF(W24=1,1,0)</f>
        <v>0</v>
      </c>
      <c r="T27" s="37"/>
      <c r="V27" s="108" t="s">
        <v>160</v>
      </c>
      <c r="W27" s="38"/>
      <c r="AA27" s="19">
        <v>346.6</v>
      </c>
      <c r="AC27" s="20" t="s">
        <v>102</v>
      </c>
    </row>
    <row r="28" spans="2:29" x14ac:dyDescent="0.3">
      <c r="B28" s="108" t="s">
        <v>23</v>
      </c>
      <c r="C28" s="109"/>
      <c r="D28" s="317">
        <f>IF(W16=1,Q17*5%,0)</f>
        <v>0</v>
      </c>
      <c r="E28" s="318"/>
      <c r="I28" s="340"/>
      <c r="J28" s="340"/>
      <c r="L28" s="342"/>
      <c r="M28" s="1" t="s">
        <v>63</v>
      </c>
      <c r="N28" s="23"/>
      <c r="O28" s="385"/>
      <c r="P28" s="385"/>
      <c r="Q28" s="24">
        <f>N28+O28</f>
        <v>0</v>
      </c>
      <c r="S28" s="110" t="s">
        <v>112</v>
      </c>
      <c r="T28" s="39"/>
      <c r="AA28" s="20">
        <v>376.5</v>
      </c>
      <c r="AC28" s="21"/>
    </row>
    <row r="29" spans="2:29" x14ac:dyDescent="0.3">
      <c r="B29" s="108" t="s">
        <v>24</v>
      </c>
      <c r="C29" s="109"/>
      <c r="D29" s="317">
        <f>IF(W16=1,Q17*5%,0)</f>
        <v>0</v>
      </c>
      <c r="E29" s="318"/>
      <c r="I29" s="369"/>
      <c r="J29" s="369"/>
      <c r="L29" s="342" t="s">
        <v>43</v>
      </c>
      <c r="M29" s="1" t="s">
        <v>64</v>
      </c>
      <c r="N29" s="15"/>
      <c r="O29" s="384"/>
      <c r="P29" s="384"/>
      <c r="Q29" s="11">
        <f>N29+O29</f>
        <v>0</v>
      </c>
      <c r="S29" s="1" t="s">
        <v>113</v>
      </c>
      <c r="T29" s="40">
        <f>IF(Y9="Прямодушие","+",0)</f>
        <v>0</v>
      </c>
      <c r="V29" s="1" t="s">
        <v>162</v>
      </c>
      <c r="W29" s="40">
        <f>IF(T17=1,"+",0)</f>
        <v>0</v>
      </c>
      <c r="X29" s="41"/>
      <c r="Y29" s="1" t="s">
        <v>165</v>
      </c>
      <c r="AA29" s="20">
        <v>408.5</v>
      </c>
      <c r="AC29" s="20" t="s">
        <v>103</v>
      </c>
    </row>
    <row r="30" spans="2:29" x14ac:dyDescent="0.3">
      <c r="B30" s="108" t="s">
        <v>25</v>
      </c>
      <c r="C30" s="109"/>
      <c r="D30" s="317"/>
      <c r="E30" s="318"/>
      <c r="H30" s="1" t="s">
        <v>107</v>
      </c>
      <c r="I30" s="74">
        <f>-0.005*(Q23+D21)*5+2.5-(Q21/5)</f>
        <v>2.5</v>
      </c>
      <c r="J30" s="75">
        <f>1/(-0.005*(Q23+D21)*5+2.5-(Q21/5))</f>
        <v>0.4</v>
      </c>
      <c r="L30" s="342"/>
      <c r="M30" s="1" t="s">
        <v>65</v>
      </c>
      <c r="N30" s="15"/>
      <c r="O30" s="387"/>
      <c r="P30" s="387"/>
      <c r="Q30" s="16">
        <f>N30+O30+IF(Y8="Ренегат",1,0)</f>
        <v>0</v>
      </c>
      <c r="S30" s="1" t="s">
        <v>114</v>
      </c>
      <c r="T30" s="42">
        <f>IF(AND(Y17&gt;4,Y11="Духовность",W25=""),"++",IF(AND(Y17&gt;4,Y11="",W25=1),"++",IF(AND(Y17="",Y11="Духовность",W25=1),"++",IF(AND(Y17&gt;4,Y11="Духовность",W25=1),"+++",IF(Y17&gt;4,"+",IF(Y11="Духовность","+",IF(W25=1,"+",0)))))))</f>
        <v>0</v>
      </c>
      <c r="V30" s="1" t="s">
        <v>163</v>
      </c>
      <c r="W30" s="42">
        <f>IF(W15=1,"+",0)</f>
        <v>0</v>
      </c>
      <c r="Y30" s="1" t="s">
        <v>166</v>
      </c>
      <c r="AA30" s="20">
        <v>442.6</v>
      </c>
      <c r="AC30" s="20" t="s">
        <v>104</v>
      </c>
    </row>
    <row r="31" spans="2:29" x14ac:dyDescent="0.3">
      <c r="B31" s="108" t="s">
        <v>26</v>
      </c>
      <c r="D31" s="319"/>
      <c r="E31" s="320"/>
      <c r="H31" s="1" t="s">
        <v>111</v>
      </c>
      <c r="I31" s="367">
        <f>IF(AND(Q24&gt;0,Q24&lt;4),(Q24+1)%,IF(Q24&gt;3,(Q24+2)%,0))</f>
        <v>0</v>
      </c>
      <c r="J31" s="368"/>
      <c r="L31" s="342"/>
      <c r="M31" s="1" t="s">
        <v>66</v>
      </c>
      <c r="N31" s="23"/>
      <c r="O31" s="388"/>
      <c r="P31" s="388"/>
      <c r="Q31" s="24">
        <f>N31+O31+IF(Y10="Осторожность",1,0)</f>
        <v>0</v>
      </c>
      <c r="S31" s="1" t="s">
        <v>115</v>
      </c>
      <c r="T31" s="43">
        <f>IF(Y12="Всепрощение","+",0)</f>
        <v>0</v>
      </c>
      <c r="V31" s="1" t="s">
        <v>164</v>
      </c>
      <c r="W31" s="43">
        <f>IF(W22=1,"+",0)</f>
        <v>0</v>
      </c>
      <c r="AA31" s="28">
        <v>479.1</v>
      </c>
      <c r="AC31" s="28"/>
    </row>
    <row r="32" spans="2:29" x14ac:dyDescent="0.3">
      <c r="D32" s="314"/>
      <c r="E32" s="314"/>
      <c r="I32" s="314"/>
      <c r="J32" s="314"/>
    </row>
    <row r="33" spans="4:5" x14ac:dyDescent="0.3">
      <c r="D33" s="314"/>
      <c r="E33" s="314"/>
    </row>
    <row r="34" spans="4:5" x14ac:dyDescent="0.3">
      <c r="D34" s="314"/>
      <c r="E34" s="314"/>
    </row>
  </sheetData>
  <sheetProtection sheet="1" objects="1" scenarios="1"/>
  <mergeCells count="105">
    <mergeCell ref="O30:P30"/>
    <mergeCell ref="O31:P31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9:P9"/>
    <mergeCell ref="O18:P18"/>
    <mergeCell ref="O19:P19"/>
    <mergeCell ref="O10:P10"/>
    <mergeCell ref="O11:P11"/>
    <mergeCell ref="O12:P12"/>
    <mergeCell ref="O13:P13"/>
    <mergeCell ref="O14:P14"/>
    <mergeCell ref="O4:P4"/>
    <mergeCell ref="O15:P15"/>
    <mergeCell ref="O16:P16"/>
    <mergeCell ref="O17:P17"/>
    <mergeCell ref="O3:P3"/>
    <mergeCell ref="N1:O1"/>
    <mergeCell ref="P1:Q1"/>
    <mergeCell ref="N2:O2"/>
    <mergeCell ref="P2:Q2"/>
    <mergeCell ref="O5:P5"/>
    <mergeCell ref="O6:P6"/>
    <mergeCell ref="O7:P7"/>
    <mergeCell ref="O8:P8"/>
    <mergeCell ref="D34:E34"/>
    <mergeCell ref="D33:E33"/>
    <mergeCell ref="D32:E32"/>
    <mergeCell ref="D2:E2"/>
    <mergeCell ref="D6:E6"/>
    <mergeCell ref="D24:E24"/>
    <mergeCell ref="D15:E15"/>
    <mergeCell ref="D14:E14"/>
    <mergeCell ref="D13:E13"/>
    <mergeCell ref="L29:L31"/>
    <mergeCell ref="L13:L20"/>
    <mergeCell ref="L2:M2"/>
    <mergeCell ref="L5:L8"/>
    <mergeCell ref="I2:J2"/>
    <mergeCell ref="I5:J5"/>
    <mergeCell ref="I6:J6"/>
    <mergeCell ref="I7:J7"/>
    <mergeCell ref="I8:J8"/>
    <mergeCell ref="I10:J10"/>
    <mergeCell ref="I11:J11"/>
    <mergeCell ref="I12:J12"/>
    <mergeCell ref="L9:L12"/>
    <mergeCell ref="I20:J20"/>
    <mergeCell ref="I22:J22"/>
    <mergeCell ref="I23:J23"/>
    <mergeCell ref="I24:J24"/>
    <mergeCell ref="I25:J25"/>
    <mergeCell ref="I31:J31"/>
    <mergeCell ref="I29:J29"/>
    <mergeCell ref="D1:E1"/>
    <mergeCell ref="L21:L24"/>
    <mergeCell ref="L25:L28"/>
    <mergeCell ref="D7:E7"/>
    <mergeCell ref="D3:E3"/>
    <mergeCell ref="C5:D5"/>
    <mergeCell ref="E5:F5"/>
    <mergeCell ref="C4:D4"/>
    <mergeCell ref="E4:F4"/>
    <mergeCell ref="D8:E8"/>
    <mergeCell ref="D9:E9"/>
    <mergeCell ref="D10:E10"/>
    <mergeCell ref="D11:E11"/>
    <mergeCell ref="D12:E12"/>
    <mergeCell ref="D23:E23"/>
    <mergeCell ref="D25:E25"/>
    <mergeCell ref="D26:E26"/>
    <mergeCell ref="D27:E27"/>
    <mergeCell ref="I1:J1"/>
    <mergeCell ref="I16:J16"/>
    <mergeCell ref="D28:E28"/>
    <mergeCell ref="I32:J32"/>
    <mergeCell ref="I26:J26"/>
    <mergeCell ref="D30:E30"/>
    <mergeCell ref="D31:E31"/>
    <mergeCell ref="I3:J3"/>
    <mergeCell ref="I4:J4"/>
    <mergeCell ref="I13:J13"/>
    <mergeCell ref="I14:J14"/>
    <mergeCell ref="I15:J15"/>
    <mergeCell ref="I17:J17"/>
    <mergeCell ref="I18:J18"/>
    <mergeCell ref="D16:E16"/>
    <mergeCell ref="D17:E17"/>
    <mergeCell ref="D18:E18"/>
    <mergeCell ref="D19:E19"/>
    <mergeCell ref="D20:E20"/>
    <mergeCell ref="D21:E21"/>
    <mergeCell ref="I19:J19"/>
    <mergeCell ref="D22:E22"/>
    <mergeCell ref="D29:E29"/>
    <mergeCell ref="I21:J21"/>
    <mergeCell ref="I28:J28"/>
  </mergeCells>
  <conditionalFormatting sqref="V6">
    <cfRule type="expression" dxfId="55" priority="75">
      <formula>$I$2&lt;3</formula>
    </cfRule>
  </conditionalFormatting>
  <conditionalFormatting sqref="V18 S6">
    <cfRule type="expression" dxfId="54" priority="72">
      <formula>$I$2&lt;5</formula>
    </cfRule>
  </conditionalFormatting>
  <conditionalFormatting sqref="V10">
    <cfRule type="expression" dxfId="53" priority="71">
      <formula>($Q$31-$O$31)&lt;1</formula>
    </cfRule>
  </conditionalFormatting>
  <conditionalFormatting sqref="V27">
    <cfRule type="expression" dxfId="52" priority="70">
      <formula>($Q$31-$O$31)&lt;1</formula>
    </cfRule>
  </conditionalFormatting>
  <conditionalFormatting sqref="S9">
    <cfRule type="expression" dxfId="51" priority="69">
      <formula>($Q$12-$O$12-IF($Y$17&gt;4,1))&lt;5</formula>
    </cfRule>
  </conditionalFormatting>
  <conditionalFormatting sqref="V15">
    <cfRule type="expression" dxfId="50" priority="68">
      <formula>($Q$12-$O$12-IF($Y$17&gt;4,1))&lt;5</formula>
    </cfRule>
  </conditionalFormatting>
  <conditionalFormatting sqref="S24">
    <cfRule type="expression" dxfId="49" priority="67">
      <formula>$Q$20&lt;1</formula>
    </cfRule>
  </conditionalFormatting>
  <conditionalFormatting sqref="S8">
    <cfRule type="expression" dxfId="48" priority="66">
      <formula>$Q$20&lt;2</formula>
    </cfRule>
  </conditionalFormatting>
  <conditionalFormatting sqref="V23">
    <cfRule type="expression" dxfId="47" priority="65">
      <formula>$Q$20&lt;5</formula>
    </cfRule>
  </conditionalFormatting>
  <conditionalFormatting sqref="S21">
    <cfRule type="expression" dxfId="46" priority="64">
      <formula>$Q$19&lt;5</formula>
    </cfRule>
  </conditionalFormatting>
  <conditionalFormatting sqref="V26">
    <cfRule type="expression" dxfId="45" priority="63">
      <formula>$Q$18&lt;2</formula>
    </cfRule>
  </conditionalFormatting>
  <conditionalFormatting sqref="S7">
    <cfRule type="expression" dxfId="44" priority="62">
      <formula>$Q$18&lt;5</formula>
    </cfRule>
  </conditionalFormatting>
  <conditionalFormatting sqref="V19">
    <cfRule type="expression" dxfId="43" priority="61">
      <formula>$Q$18&lt;5</formula>
    </cfRule>
  </conditionalFormatting>
  <conditionalFormatting sqref="V9">
    <cfRule type="expression" dxfId="42" priority="60">
      <formula>$Q$17&lt;1</formula>
    </cfRule>
  </conditionalFormatting>
  <conditionalFormatting sqref="V20">
    <cfRule type="expression" dxfId="41" priority="59">
      <formula>$Q$17&lt;1</formula>
    </cfRule>
  </conditionalFormatting>
  <conditionalFormatting sqref="S13">
    <cfRule type="expression" dxfId="40" priority="58">
      <formula>$Q$17&lt;2</formula>
    </cfRule>
  </conditionalFormatting>
  <conditionalFormatting sqref="S16">
    <cfRule type="expression" dxfId="39" priority="57">
      <formula>$Q$17&lt;5</formula>
    </cfRule>
  </conditionalFormatting>
  <conditionalFormatting sqref="V16">
    <cfRule type="expression" dxfId="38" priority="56">
      <formula>$Q$17&lt;5</formula>
    </cfRule>
  </conditionalFormatting>
  <conditionalFormatting sqref="S5">
    <cfRule type="expression" dxfId="37" priority="55">
      <formula>$N$8&lt;1</formula>
    </cfRule>
  </conditionalFormatting>
  <conditionalFormatting sqref="V13">
    <cfRule type="expression" dxfId="36" priority="54">
      <formula>$N$11&lt;1</formula>
    </cfRule>
  </conditionalFormatting>
  <conditionalFormatting sqref="V22">
    <cfRule type="expression" dxfId="35" priority="53">
      <formula>$N$11&lt;5</formula>
    </cfRule>
  </conditionalFormatting>
  <conditionalFormatting sqref="S26">
    <cfRule type="expression" dxfId="34" priority="52">
      <formula>$Q$15&lt;5</formula>
    </cfRule>
  </conditionalFormatting>
  <conditionalFormatting sqref="S15">
    <cfRule type="expression" dxfId="33" priority="51">
      <formula>$Q$14&lt;5</formula>
    </cfRule>
  </conditionalFormatting>
  <conditionalFormatting sqref="S17">
    <cfRule type="expression" dxfId="32" priority="50">
      <formula>$Q$13&lt;5</formula>
    </cfRule>
  </conditionalFormatting>
  <conditionalFormatting sqref="V25">
    <cfRule type="expression" dxfId="31" priority="41">
      <formula>$W$7=1</formula>
    </cfRule>
  </conditionalFormatting>
  <conditionalFormatting sqref="W2">
    <cfRule type="containsText" dxfId="30" priority="40" operator="containsText" text="!!!">
      <formula>NOT(ISERROR(SEARCH("!!!",W2)))</formula>
    </cfRule>
  </conditionalFormatting>
  <conditionalFormatting sqref="P2:Q2">
    <cfRule type="containsText" dxfId="29" priority="39" operator="containsText" text="!!!">
      <formula>NOT(ISERROR(SEARCH("!!!",P2)))</formula>
    </cfRule>
  </conditionalFormatting>
  <conditionalFormatting sqref="E5:F5">
    <cfRule type="containsText" dxfId="28" priority="38" operator="containsText" text="!!!">
      <formula>NOT(ISERROR(SEARCH("!!!",E5)))</formula>
    </cfRule>
  </conditionalFormatting>
  <conditionalFormatting sqref="Q5:Q31">
    <cfRule type="cellIs" dxfId="27" priority="36" operator="greaterThan">
      <formula>5</formula>
    </cfRule>
  </conditionalFormatting>
  <conditionalFormatting sqref="T5">
    <cfRule type="expression" dxfId="26" priority="35">
      <formula>$N$8&lt;1</formula>
    </cfRule>
  </conditionalFormatting>
  <conditionalFormatting sqref="T6 W18">
    <cfRule type="expression" dxfId="25" priority="32">
      <formula>$I$2&lt;5</formula>
    </cfRule>
  </conditionalFormatting>
  <conditionalFormatting sqref="T7">
    <cfRule type="expression" dxfId="24" priority="31">
      <formula>$Q$18&lt;5</formula>
    </cfRule>
  </conditionalFormatting>
  <conditionalFormatting sqref="T8">
    <cfRule type="expression" dxfId="23" priority="30">
      <formula>$Q$20&lt;2</formula>
    </cfRule>
  </conditionalFormatting>
  <conditionalFormatting sqref="T9">
    <cfRule type="expression" dxfId="22" priority="29">
      <formula>($Q$12-$O$12-IF($Y$17&gt;4,1))&lt;5</formula>
    </cfRule>
  </conditionalFormatting>
  <conditionalFormatting sqref="T13">
    <cfRule type="expression" dxfId="21" priority="28">
      <formula>$Q$17&lt;2</formula>
    </cfRule>
  </conditionalFormatting>
  <conditionalFormatting sqref="T15">
    <cfRule type="expression" dxfId="20" priority="27">
      <formula>$Q$14&lt;5</formula>
    </cfRule>
  </conditionalFormatting>
  <conditionalFormatting sqref="T16">
    <cfRule type="expression" dxfId="19" priority="26">
      <formula>$Q$17&lt;5</formula>
    </cfRule>
  </conditionalFormatting>
  <conditionalFormatting sqref="T17">
    <cfRule type="expression" dxfId="18" priority="25">
      <formula>$Q$13&lt;5</formula>
    </cfRule>
  </conditionalFormatting>
  <conditionalFormatting sqref="T21">
    <cfRule type="expression" dxfId="17" priority="24">
      <formula>$Q$19&lt;5</formula>
    </cfRule>
  </conditionalFormatting>
  <conditionalFormatting sqref="T24">
    <cfRule type="expression" dxfId="16" priority="23">
      <formula>$Q$20&lt;1</formula>
    </cfRule>
  </conditionalFormatting>
  <conditionalFormatting sqref="T26">
    <cfRule type="expression" dxfId="15" priority="22">
      <formula>$Q$15&lt;5</formula>
    </cfRule>
  </conditionalFormatting>
  <conditionalFormatting sqref="W6">
    <cfRule type="expression" dxfId="14" priority="21">
      <formula>$I$2&lt;3</formula>
    </cfRule>
  </conditionalFormatting>
  <conditionalFormatting sqref="W9">
    <cfRule type="expression" dxfId="13" priority="20">
      <formula>$Q$17&lt;1</formula>
    </cfRule>
  </conditionalFormatting>
  <conditionalFormatting sqref="W10">
    <cfRule type="expression" dxfId="12" priority="19">
      <formula>($Q$31-$O$31)&lt;1</formula>
    </cfRule>
  </conditionalFormatting>
  <conditionalFormatting sqref="W13">
    <cfRule type="expression" dxfId="11" priority="18">
      <formula>$N$11&lt;1</formula>
    </cfRule>
  </conditionalFormatting>
  <conditionalFormatting sqref="W15">
    <cfRule type="expression" dxfId="0" priority="17">
      <formula>($Q$12-$O$12-IF($Y$17&gt;4,1))&lt;5</formula>
    </cfRule>
  </conditionalFormatting>
  <conditionalFormatting sqref="W16">
    <cfRule type="expression" dxfId="10" priority="16">
      <formula>$Q$17&lt;5</formula>
    </cfRule>
  </conditionalFormatting>
  <conditionalFormatting sqref="W19">
    <cfRule type="expression" dxfId="9" priority="13">
      <formula>$Q$18&lt;5</formula>
    </cfRule>
  </conditionalFormatting>
  <conditionalFormatting sqref="W20">
    <cfRule type="expression" dxfId="8" priority="12">
      <formula>$Q$17&lt;1</formula>
    </cfRule>
  </conditionalFormatting>
  <conditionalFormatting sqref="W22">
    <cfRule type="expression" dxfId="7" priority="10">
      <formula>$N$11&lt;5</formula>
    </cfRule>
  </conditionalFormatting>
  <conditionalFormatting sqref="W23">
    <cfRule type="expression" dxfId="6" priority="9">
      <formula>$Q$20&lt;5</formula>
    </cfRule>
  </conditionalFormatting>
  <conditionalFormatting sqref="W26">
    <cfRule type="expression" dxfId="5" priority="8">
      <formula>$Q$18&lt;2</formula>
    </cfRule>
  </conditionalFormatting>
  <conditionalFormatting sqref="W27">
    <cfRule type="expression" dxfId="4" priority="7">
      <formula>($Q$31-$O$31)&lt;1</formula>
    </cfRule>
  </conditionalFormatting>
  <conditionalFormatting sqref="W25">
    <cfRule type="expression" dxfId="3" priority="6">
      <formula>$W$7=1</formula>
    </cfRule>
  </conditionalFormatting>
  <conditionalFormatting sqref="V7">
    <cfRule type="expression" dxfId="2" priority="5">
      <formula>$W$25=1</formula>
    </cfRule>
  </conditionalFormatting>
  <conditionalFormatting sqref="W7">
    <cfRule type="expression" dxfId="1" priority="4">
      <formula>$W$25=1</formula>
    </cfRule>
  </conditionalFormatting>
  <dataValidations disablePrompts="1" count="130">
    <dataValidation type="whole" errorStyle="warning" operator="greaterThanOrEqual" allowBlank="1" showInputMessage="1" showErrorMessage="1" error="значение должно быть от 1 до 31" sqref="I2:J2">
      <formula1>1</formula1>
    </dataValidation>
    <dataValidation type="whole" errorStyle="warning" allowBlank="1" showInputMessage="1" showErrorMessage="1" error="значение должно быть от 5 до 15" sqref="C8:C13">
      <formula1>5</formula1>
      <formula2>15</formula2>
    </dataValidation>
    <dataValidation errorStyle="warning" allowBlank="1" showInputMessage="1" showErrorMessage="1" sqref="F8:F13"/>
    <dataValidation errorStyle="warning" operator="lessThan" allowBlank="1" showInputMessage="1" showErrorMessage="1" sqref="E5"/>
    <dataValidation errorStyle="warning" allowBlank="1" showInputMessage="1" showErrorMessage="1" error="значение должно быть от 1 до 5" sqref="Q5:Q31"/>
    <dataValidation type="whole" errorStyle="warning" operator="lessThanOrEqual" allowBlank="1" showInputMessage="1" showErrorMessage="1" error="значение должно быть не больше 5" sqref="N5:N31">
      <formula1>5</formula1>
    </dataValidation>
    <dataValidation errorStyle="warning" operator="lessThanOrEqual" allowBlank="1" showInputMessage="1" showErrorMessage="1" sqref="O5:P31"/>
    <dataValidation type="list" allowBlank="1" showInputMessage="1" showErrorMessage="1" prompt="репутация / бартер" sqref="Y5">
      <formula1>$AC$5:$AC$7</formula1>
    </dataValidation>
    <dataValidation type="list" allowBlank="1" showInputMessage="1" showErrorMessage="1" prompt="сила воли / сила воли при лидере" sqref="Y6">
      <formula1>$AC$8:$AC$10</formula1>
    </dataValidation>
    <dataValidation type="list" allowBlank="1" showInputMessage="1" showErrorMessage="1" prompt="рукоделие / талисман удачи" sqref="Y7">
      <formula1>$AC$11:$AC$13</formula1>
    </dataValidation>
    <dataValidation type="list" allowBlank="1" showInputMessage="1" showErrorMessage="1" prompt="лидерство / карманник" sqref="Y8">
      <formula1>$AC$14:$AC$16</formula1>
    </dataValidation>
    <dataValidation type="list" allowBlank="1" showInputMessage="1" showErrorMessage="1" prompt="невосприимчивость к очарованию / обаяние" sqref="Y9">
      <formula1>$AC$17:$AC$19</formula1>
    </dataValidation>
    <dataValidation type="list" allowBlank="1" showInputMessage="1" showErrorMessage="1" prompt="инициатива / скрытность" sqref="Y10">
      <formula1>$AC$20:$AC$22</formula1>
    </dataValidation>
    <dataValidation type="list" allowBlank="1" showInputMessage="1" showErrorMessage="1" prompt="невосприимчивость к страху / знаток легенд" sqref="Y11">
      <formula1>$AC$23:$AC$25</formula1>
    </dataValidation>
    <dataValidation type="list" allowBlank="1" showInputMessage="1" showErrorMessage="1" prompt="невосприимчивость к проклятию / шанс успешной атаки по возможности" sqref="Y12">
      <formula1>$AC$26:$AC$28</formula1>
    </dataValidation>
    <dataValidation type="list" allowBlank="1" showInputMessage="1" showErrorMessage="1" prompt="шанс крит. урона / шанс ударить в спину" sqref="Y13">
      <formula1>$AC$29:$AC$31</formula1>
    </dataValidation>
    <dataValidation type="whole" errorStyle="warning" operator="equal" allowBlank="1" showInputMessage="1" showErrorMessage="1" error="Значение должно быть равно 1" sqref="T5:T27 W5:W25 W26:W27">
      <formula1>1</formula1>
    </dataValidation>
    <dataValidation allowBlank="1" showInputMessage="1" showErrorMessage="1" prompt="увеличивает урон от дробящего оружия на 10%;_x000a_требуется способность одноручное 1 (базовое значение)" sqref="S5"/>
    <dataValidation allowBlank="1" showInputMessage="1" showErrorMessage="1" prompt="+1 очко характеристик;_x000a_требуется уровень 5" sqref="S6"/>
    <dataValidation allowBlank="1" showInputMessage="1" showErrorMessage="1" prompt="повышает скорость перемещения на 20%;_x000a_требуется способность преступник 2" sqref="S8"/>
    <dataValidation allowBlank="1" showInputMessage="1" showErrorMessage="1" prompt="остается 1 очко здоровья при смертельном ударе;_x000a_требуется способность сила воли 5 (базовое значение и характер)" sqref="S9"/>
    <dataValidation allowBlank="1" showInputMessage="1" showErrorMessage="1" prompt="снижает стоимость использования стрелкового оружия на 1 очко действия;_x000a_требуется способность опытный стрелок 5" sqref="S7"/>
    <dataValidation allowBlank="1" showInputMessage="1" showErrorMessage="1" prompt="20% шанс вернуть особую стрелу после выстрела" sqref="S10"/>
    <dataValidation allowBlank="1" showInputMessage="1" showErrorMessage="1" prompt="базовое здоровье +70%, _x000a_очки действия (макс) +2, _x000a_очки действия (ход) +2, _x000a_очки способностей +1 за уровень" sqref="S11"/>
    <dataValidation allowBlank="1" showInputMessage="1" showErrorMessage="1" prompt="отношение к персонажу -25, _x000a_уменьшение агра в ближнем бою" sqref="S12"/>
    <dataValidation allowBlank="1" showInputMessage="1" showErrorMessage="1" prompt="увеличивает запас здоровья на 5% х &quot;Ополченец&quot;;_x000a_требуется способность ополченец 2" sqref="S13"/>
    <dataValidation allowBlank="1" showInputMessage="1" showErrorMessage="1" prompt="отношение к персонажу -20, _x000a_интеллект +1" sqref="S14"/>
    <dataValidation allowBlank="1" showInputMessage="1" showErrorMessage="1" prompt="невосприимчивость к влиянию окружающей среды;_x000a_требуется способность геомантия 5" sqref="S15"/>
    <dataValidation allowBlank="1" showInputMessage="1" showErrorMessage="1" prompt="снимает штрафы к защите при окружении;_x000a_требуется способность ополченец 5" sqref="S16"/>
    <dataValidation allowBlank="1" showInputMessage="1" showErrorMessage="1" prompt="невосприимчивость к оглушению;_x000a_требуется способность аэротеургия 5" sqref="S17"/>
    <dataValidation allowBlank="1" showInputMessage="1" showErrorMessage="1" prompt="+50% урона замедленным, увечным и сбитым с ног противникам" sqref="S18"/>
    <dataValidation allowBlank="1" showInputMessage="1" showErrorMessage="1" prompt="увеличивает грузоподъемность" sqref="S19"/>
    <dataValidation allowBlank="1" showInputMessage="1" showErrorMessage="1" prompt="действие пищи х2" sqref="S20"/>
    <dataValidation allowBlank="1" showInputMessage="1" showErrorMessage="1" prompt="шанс поджечь противника в ближнем бою, _x000a_сопротивление воде -25%;_x000a_требуется способность пирокинетика 5" sqref="S21"/>
    <dataValidation allowBlank="1" showInputMessage="1" showErrorMessage="1" prompt="дальность действия заклинаний и свитков +2м" sqref="S22"/>
    <dataValidation allowBlank="1" showInputMessage="1" showErrorMessage="1" prompt="позволяет лечиться с помощью ядов, обычное лечение наносит урон" sqref="S23"/>
    <dataValidation allowBlank="1" showInputMessage="1" showErrorMessage="1" prompt="позволяет наносить удары в спину кинжалом или ножом;_x000a_требуется способность преступник 1" sqref="S24"/>
    <dataValidation allowBlank="1" showInputMessage="1" showErrorMessage="1" prompt="восприятие при обнаружении ловушек +2" sqref="S25"/>
    <dataValidation allowBlank="1" showInputMessage="1" showErrorMessage="1" prompt="шанс охладить противника в ближнем бою, _x000a_сопротивление огню -25%;_x000a_требуется способность гидрософистика 5" sqref="S26"/>
    <dataValidation allowBlank="1" showInputMessage="1" showErrorMessage="1" prompt="позволяет говорить с животными" sqref="V5"/>
    <dataValidation allowBlank="1" showInputMessage="1" showErrorMessage="1" prompt="увеличивает точность оружия (с силой),_x000a_грузоподъемность,_x000a_&quot;Ополченец&quot;" sqref="B8"/>
    <dataValidation allowBlank="1" showInputMessage="1" showErrorMessage="1" prompt="увеличивает точность оружия (с ловкостью),_x000a_физ. защиту,_x000a_&quot;Опытный стрелок&quot; и &quot;Преступник&quot;_x000a_" sqref="B9"/>
    <dataValidation allowBlank="1" showInputMessage="1" showErrorMessage="1" prompt="увеличивает точность оружия (с интеллектом),_x000a_уменьшает откат маг. скилов,_x000a_&quot;Колдовство&quot;, &quot;Аэротеургия&quot;, &quot;Геомантия&quot;, &quot;Гидрософистика&quot;, &quot;Пирокинетика&quot;;_x000a_зависит от талантов всезнайка, политик" sqref="B10"/>
    <dataValidation allowBlank="1" showInputMessage="1" showErrorMessage="1" prompt="увеличивает здоровье,_x000a_количество очков действия (макс)" sqref="B11"/>
    <dataValidation allowBlank="1" showInputMessage="1" showErrorMessage="1" prompt="увеличивает скорость перемещения, _x000a_инициативу,_x000a_количество очков действия (старт и ход)" sqref="B12"/>
    <dataValidation allowBlank="1" showInputMessage="1" showErrorMessage="1" prompt="увеличивает инициативу, шанс крит. урона, количество очков действия (старт), точность при стрельбе с дальнего расстояния,_x000a_улучшает слух, обнаружение ловушек" sqref="B13"/>
    <dataValidation allowBlank="1" showInputMessage="1" showErrorMessage="1" prompt="зависит от телосложения и таланта волк-одиночка" sqref="B18"/>
    <dataValidation allowBlank="1" showInputMessage="1" showErrorMessage="1" prompt="зависит от скорости, талантов волк-одиночка и стеклянная пушка)" sqref="B20"/>
    <dataValidation allowBlank="1" showInputMessage="1" showErrorMessage="1" prompt="зависит от скорости и восприятия" sqref="B19"/>
    <dataValidation allowBlank="1" showInputMessage="1" showErrorMessage="1" prompt="зависит от черты прямодушие" sqref="S29"/>
    <dataValidation allowBlank="1" showInputMessage="1" showErrorMessage="1" prompt="зависит от черты духовность, таланта храбрость и лидерства" sqref="S30"/>
    <dataValidation allowBlank="1" showInputMessage="1" showErrorMessage="1" prompt="зависит от черты всепрощение" sqref="S31"/>
    <dataValidation allowBlank="1" showInputMessage="1" showErrorMessage="1" prompt="зависит от способности арбалет, лидерства и показателей оружия" sqref="H5"/>
    <dataValidation allowBlank="1" showInputMessage="1" showErrorMessage="1" prompt="зависит от способности двуручное, лидерства и показателей оружия" sqref="H6"/>
    <dataValidation allowBlank="1" showInputMessage="1" showErrorMessage="1" prompt="зависит от способности лук, лидерства и показателей оружия" sqref="H7"/>
    <dataValidation allowBlank="1" showInputMessage="1" showErrorMessage="1" prompt="зависит от способности одноручное, лидерства и показателей оружия" sqref="H8"/>
    <dataValidation allowBlank="1" showInputMessage="1" showErrorMessage="1" prompt="зависит от способностей знаток доспехов, ополченец, таланта толстая шкура, лидерства и показателей брони_x000a_(процент к показателям брони / бонус)" sqref="H9"/>
    <dataValidation allowBlank="1" showInputMessage="1" showErrorMessage="1" prompt="зависит от способности знаток щитов и показателей щита" sqref="H10"/>
    <dataValidation allowBlank="1" showInputMessage="1" showErrorMessage="1" prompt="зависит от восприятия, лидерства, черты сострадание" sqref="H11"/>
    <dataValidation allowBlank="1" showInputMessage="1" showErrorMessage="1" prompt="зависит от силы и способности талисман удачи" sqref="H12"/>
    <dataValidation allowBlank="1" showInputMessage="1" showErrorMessage="1" prompt="зависит от ловкости и способности талисман удачи" sqref="H13"/>
    <dataValidation allowBlank="1" showInputMessage="1" showErrorMessage="1" prompt="зависит от интеллекта и способности талисман удачи" sqref="H14"/>
    <dataValidation allowBlank="1" showInputMessage="1" showErrorMessage="1" prompt="зависит от ловкости" sqref="H15"/>
    <dataValidation allowBlank="1" showInputMessage="1" showErrorMessage="1" prompt="зависит от восприятия" sqref="H18 H23"/>
    <dataValidation allowBlank="1" showInputMessage="1" showErrorMessage="1" prompt="зависит от скорости, восприятия, лидерства, черты храбрость" sqref="B22"/>
    <dataValidation allowBlank="1" showInputMessage="1" showErrorMessage="1" prompt="зависит от силы и таланта грузчик" sqref="H20"/>
    <dataValidation allowBlank="1" showInputMessage="1" showErrorMessage="1" prompt="зависит от интеллекта" sqref="H22"/>
    <dataValidation allowBlank="1" showInputMessage="1" showErrorMessage="1" prompt="зависит от способности знаток доспехов" sqref="H24"/>
    <dataValidation allowBlank="1" showInputMessage="1" showErrorMessage="1" prompt="зависит от способности крепость тела,_x000a_эффекты: потеря сознания, горение, кровотечение, увечье, слепота, слабость, болезнь, заражение и опьянение" sqref="H25"/>
    <dataValidation allowBlank="1" showInputMessage="1" showErrorMessage="1" prompt="зависит от способности сила воли,_x000a_эффекты: зачарование, проклятие, страх, заморозка, немота, окаменение, замедление и оглушение" sqref="H26"/>
    <dataValidation allowBlank="1" showInputMessage="1" showErrorMessage="1" prompt="зависит от уровня сложности / лидерства" sqref="H27:H28"/>
    <dataValidation allowBlank="1" showInputMessage="1" showErrorMessage="1" prompt="зависит от репутации, способностей бартер и обаяние" sqref="H30"/>
    <dataValidation allowBlank="1" showInputMessage="1" showErrorMessage="1" prompt="зависит от способности талисман удачи" sqref="H31"/>
    <dataValidation allowBlank="1" showInputMessage="1" showErrorMessage="1" prompt="увеличивает урон арбалета" sqref="M5"/>
    <dataValidation allowBlank="1" showInputMessage="1" showErrorMessage="1" prompt="увеличивает урон двуручного оружия" sqref="M6"/>
    <dataValidation allowBlank="1" showInputMessage="1" showErrorMessage="1" prompt="увеличивает урон лука" sqref="M7"/>
    <dataValidation allowBlank="1" showInputMessage="1" showErrorMessage="1" prompt="увеличивает урон одноручного оружия" sqref="M8"/>
    <dataValidation allowBlank="1" showInputMessage="1" showErrorMessage="1" prompt="увеличивает физ. защиту, уменьшает штраф на перемещение" sqref="M9"/>
    <dataValidation allowBlank="1" showInputMessage="1" showErrorMessage="1" prompt="увеличивает шанс блока" sqref="M10"/>
    <dataValidation allowBlank="1" showInputMessage="1" showErrorMessage="1" prompt="улучшает защиту от физических эффектов: потеря сознания, горение, кровотечение, увечье, слепота, слабость, болезнь, заражение и опьянение;_x000a_зависит от лидерства" sqref="M11"/>
    <dataValidation allowBlank="1" showInputMessage="1" showErrorMessage="1" prompt="улучшает защиту от магических и ментальных эффектов: зачарование, проклятие, страх, заморозка, немота, окаменение, замедление и оглушение;_x000a_зависит от лидерства, черты независимость и черты исполнительность (при лидере)" sqref="M12"/>
    <dataValidation allowBlank="1" showInputMessage="1" showErrorMessage="1" prompt="зависит от черты праведность" sqref="M22"/>
    <dataValidation allowBlank="1" showInputMessage="1" showErrorMessage="1" prompt="увеличивает скидку при покупке у торговцев товаров и наценку при их продаже;_x000a_зависит от черты эгоизм" sqref="M21"/>
    <dataValidation allowBlank="1" showInputMessage="1" showErrorMessage="1" prompt="увеличивает скидку при покупке у торговцев товаров и наценку при их продаже,_x000a_увеличивает количество очков в споре;_x000a_зависит от черты отзывчивость и таланта политик" sqref="M23"/>
    <dataValidation allowBlank="1" showInputMessage="1" showErrorMessage="1" prompt="увеличивает точность, шанс при луте сундуков;_x000a_зависит от черты романтичность" sqref="M24"/>
    <dataValidation allowBlank="1" showInputMessage="1" showErrorMessage="1" prompt="позволяет опознавать предметы и врагов;_x000a_зависит от черты материализм" sqref="M25"/>
    <dataValidation allowBlank="1" showInputMessage="1" showErrorMessage="1" prompt="позволяет подбирать или перемещать предметы на расстоянии (2м за 1 очко)" sqref="M28"/>
    <dataValidation allowBlank="1" showInputMessage="1" showErrorMessage="1" prompt="зависит от черты ренегат;_x000a_на 200g больше за уровень, максимальный вес 5,0 (на 5 уровне)" sqref="M30"/>
    <dataValidation allowBlank="1" showInputMessage="1" showErrorMessage="1" prompt="зависит от черты осторожность" sqref="M31"/>
    <dataValidation allowBlank="1" showInputMessage="1" showErrorMessage="1" prompt="зависит от черты альтруизм" sqref="B21"/>
    <dataValidation allowBlank="1" showInputMessage="1" showErrorMessage="1" prompt="зависит от скорости, таланта быстрые ноги" sqref="H19"/>
    <dataValidation allowBlank="1" showInputMessage="1" showErrorMessage="1" prompt="зависит от телосложения" sqref="B16"/>
    <dataValidation allowBlank="1" showInputMessage="1" showErrorMessage="1" prompt="зависит от талантов волк-одиночка, воплощение здоровья, стеклянная пушка и сложности игры" sqref="B17"/>
    <dataValidation allowBlank="1" showInputMessage="1" showErrorMessage="1" prompt="зависит от талантов громоотвод и упрямство" sqref="V29"/>
    <dataValidation allowBlank="1" showInputMessage="1" showErrorMessage="1" prompt="уменьшается от таланта демон;_x000a_повышается от таланта спокойствие в бурю" sqref="B27"/>
    <dataValidation allowBlank="1" showInputMessage="1" showErrorMessage="1" prompt="уменьшается от таланта ледяной король; _x000a_повышается от таланта спокойствие в бурю" sqref="B26"/>
    <dataValidation allowBlank="1" showInputMessage="1" showErrorMessage="1" prompt="+2 очка способностей;_x000a_требуется уровень 3" sqref="V6"/>
    <dataValidation allowBlank="1" showInputMessage="1" showErrorMessage="1" prompt="позволяет бежать из боя даже, если противники находятся рядом;_x000a_несовместимость с талантом храбрость" sqref="V7"/>
    <dataValidation allowBlank="1" showInputMessage="1" showErrorMessage="1" prompt="50% шанс, что при нанесении или получении урона снаряжение не будет изнашиваться" sqref="V8"/>
    <dataValidation allowBlank="1" showInputMessage="1" showErrorMessage="1" prompt="позволяет выполнять атаки по возможности;_x000a_требуется способность ополченец 1" sqref="V9"/>
    <dataValidation allowBlank="1" showInputMessage="1" showErrorMessage="1" prompt="удваивает урон, наносимый в режиме скрытности;_x000a_требуется способность скрытность 1 (базовое значение и характер)" sqref="V10"/>
    <dataValidation allowBlank="1" showInputMessage="1" showErrorMessage="1" prompt="восстанавливает здоровье, если персонаж стоит в крови" sqref="V11"/>
    <dataValidation allowBlank="1" showInputMessage="1" showErrorMessage="1" prompt="обаяние +2, интеллект -1" sqref="V12"/>
    <dataValidation allowBlank="1" showInputMessage="1" showErrorMessage="1" prompt="персонаж воскресает с полным запасом здоровья;_x000a_требуется способность крепость тела 1 (базовое значение)" sqref="V13"/>
    <dataValidation allowBlank="1" showInputMessage="1" showErrorMessage="1" prompt="уменьшает длительность всех эффектов (в том числе положительных) на 1 ход" sqref="V14"/>
    <dataValidation allowBlank="1" showInputMessage="1" showErrorMessage="1" prompt="невосприимчивость к немоте;_x000a_требуется способность сила воли 5 (базовое значение и характер)" sqref="V15"/>
    <dataValidation allowBlank="1" showInputMessage="1" showErrorMessage="1" prompt="зависит от таланта светило магии" sqref="V30"/>
    <dataValidation allowBlank="1" showInputMessage="1" showErrorMessage="1" prompt="увеличивает сопротивление магии 5% х &quot;Ополченец&quot;;_x000a_требуется способность ополченец 5" sqref="V16"/>
    <dataValidation allowBlank="1" showInputMessage="1" showErrorMessage="1" prompt="-1 очко действия для применения заклинаний, если персонаж стоит на поверхности с той же стихией" sqref="V17"/>
    <dataValidation allowBlank="1" showInputMessage="1" showErrorMessage="1" prompt="очки действия (ход) х2, здоровье (в том числе, с талантом волк-одиночка) -50%;_x000a_требуется уровень 5" sqref="V18"/>
    <dataValidation allowBlank="1" showInputMessage="1" showErrorMessage="1" prompt="стрелы могут наносить дополнительный стихийный урон в зависимости от поверхности под ногами цели;_x000a_требуется способность опытный стрелок 5" sqref="V19"/>
    <dataValidation allowBlank="1" showInputMessage="1" showErrorMessage="1" prompt="броня +5 и +&quot;Ополченец&quot;х2;_x000a_требуется способность ополченец 1" sqref="V20"/>
    <dataValidation allowBlank="1" showInputMessage="1" showErrorMessage="1" prompt="повышает восстановление и максимальное количество очков действия на 2, если здоровье персонажа меньше 30%" sqref="V21"/>
    <dataValidation allowBlank="1" showInputMessage="1" showErrorMessage="1" prompt="не позволяет сбить персонажа с ног;_x000a_требуется способность крепость тела 5 (базовое значение)" sqref="V22"/>
    <dataValidation allowBlank="1" showInputMessage="1" showErrorMessage="1" prompt="зависит от талантов упорство и упрямство" sqref="V31"/>
    <dataValidation allowBlank="1" showInputMessage="1" showErrorMessage="1" prompt="повышает защиту от заморозки, оглушения, окаменения и сбивания с ног на 20%;_x000a_требуется способность преступник 5" sqref="V23"/>
    <dataValidation allowBlank="1" showInputMessage="1" showErrorMessage="1" prompt="зависит от таланта упрямство" sqref="Y29:Y30"/>
    <dataValidation allowBlank="1" showInputMessage="1" showErrorMessage="1" prompt="&quot;Кузнечное дело&quot; +1 _x000a_&quot;Рукоделие&quot; +1" sqref="V24"/>
    <dataValidation allowBlank="1" showInputMessage="1" showErrorMessage="1" prompt="зависит от таланта ученый" sqref="M26:M27"/>
    <dataValidation allowBlank="1" showInputMessage="1" showErrorMessage="1" prompt="невосприимчивость к страху, но нельзя убежать из боя;_x000a_несовместимость с талантом мастер побега" sqref="V25"/>
    <dataValidation allowBlank="1" showInputMessage="1" showErrorMessage="1" prompt="шанс уклониться от удара +10%;_x000a_требуется способность опытный стрелок 2" sqref="V26"/>
    <dataValidation allowBlank="1" showInputMessage="1" showErrorMessage="1" prompt="позволяет перемещаться с нормальной скоростью в режиме скрытности;_x000a_требуется способность скрытность 1 (базовое значение и характер)" sqref="V27"/>
    <dataValidation type="list" allowBlank="1" showInputMessage="1" showErrorMessage="1" sqref="D2">
      <formula1>$AB$1:$AB$4</formula1>
    </dataValidation>
    <dataValidation type="list" allowBlank="1" showInputMessage="1" showErrorMessage="1" prompt="для членов группы улучшает: инициативу, физ. урон, шанс ударить, шанс крит. урона, физ. защиту, силу воли, крепость тела, _x000a_дает невосприимчивость к страху" sqref="Y17">
      <formula1>$AB$12:$AB$18</formula1>
    </dataValidation>
    <dataValidation allowBlank="1" showInputMessage="1" showErrorMessage="1" prompt="стихия воздуха" sqref="M13"/>
    <dataValidation allowBlank="1" showInputMessage="1" showErrorMessage="1" prompt="стихия земли и яда" sqref="M14"/>
    <dataValidation allowBlank="1" showInputMessage="1" showErrorMessage="1" prompt="стихия воды" sqref="M15"/>
    <dataValidation allowBlank="1" showInputMessage="1" showErrorMessage="1" prompt="стихия огня" sqref="M19"/>
    <dataValidation allowBlank="1" showInputMessage="1" showErrorMessage="1" prompt="баффы и дебаффы" sqref="M16"/>
    <dataValidation allowBlank="1" showInputMessage="1" showErrorMessage="1" prompt="повышается от таланта спокойствие в бурю" sqref="B28 B29"/>
  </dataValidations>
  <pageMargins left="0.7" right="0.7" top="0.75" bottom="0.75" header="0.3" footer="0.3"/>
  <pageSetup paperSize="9" orientation="portrait" horizontalDpi="0" verticalDpi="0" r:id="rId1"/>
  <ignoredErrors>
    <ignoredError sqref="Q10 Q12 F10" formula="1"/>
    <ignoredError sqref="D28:D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zoomScaleNormal="10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2.77734375" style="114" customWidth="1"/>
    <col min="2" max="2" width="2.6640625" style="114" customWidth="1"/>
    <col min="3" max="3" width="16.77734375" style="71" customWidth="1"/>
    <col min="4" max="4" width="2.6640625" style="108" customWidth="1"/>
    <col min="5" max="5" width="24.21875" style="108" customWidth="1"/>
    <col min="6" max="6" width="6.33203125" style="114" customWidth="1"/>
    <col min="7" max="7" width="2.6640625" style="114" customWidth="1"/>
    <col min="8" max="8" width="12.77734375" style="114" customWidth="1"/>
    <col min="9" max="9" width="2.21875" style="114" customWidth="1"/>
    <col min="10" max="10" width="2.6640625" style="114" customWidth="1"/>
    <col min="11" max="11" width="12.77734375" style="114" customWidth="1"/>
    <col min="12" max="12" width="8.44140625" style="114" customWidth="1"/>
    <col min="13" max="13" width="2.6640625" style="114" customWidth="1"/>
    <col min="14" max="14" width="32.5546875" style="114" customWidth="1"/>
    <col min="15" max="15" width="2.6640625" style="114" customWidth="1"/>
    <col min="16" max="16" width="25.33203125" style="114" customWidth="1"/>
    <col min="17" max="17" width="2.6640625" style="114" customWidth="1"/>
    <col min="18" max="18" width="23.5546875" style="114" customWidth="1"/>
    <col min="19" max="16384" width="8.88671875" style="114"/>
  </cols>
  <sheetData>
    <row r="1" spans="1:18" x14ac:dyDescent="0.3">
      <c r="B1" s="374"/>
      <c r="C1" s="374"/>
      <c r="D1" s="114"/>
      <c r="E1" s="130"/>
      <c r="F1" s="131"/>
      <c r="G1" s="322"/>
      <c r="H1" s="322"/>
      <c r="I1" s="322"/>
      <c r="J1" s="322"/>
      <c r="K1" s="322"/>
      <c r="M1" s="374"/>
      <c r="N1" s="374"/>
      <c r="O1" s="374"/>
      <c r="P1" s="374"/>
      <c r="Q1" s="374"/>
      <c r="R1" s="374"/>
    </row>
    <row r="2" spans="1:18" x14ac:dyDescent="0.3">
      <c r="A2" s="374"/>
      <c r="B2" s="416" t="s">
        <v>351</v>
      </c>
      <c r="C2" s="416"/>
      <c r="D2" s="401" t="s">
        <v>352</v>
      </c>
      <c r="E2" s="375"/>
      <c r="F2" s="404"/>
      <c r="G2" s="401" t="s">
        <v>353</v>
      </c>
      <c r="H2" s="375"/>
      <c r="I2" s="375"/>
      <c r="J2" s="375"/>
      <c r="K2" s="404"/>
      <c r="L2" s="417" t="s">
        <v>193</v>
      </c>
      <c r="M2" s="416" t="s">
        <v>371</v>
      </c>
      <c r="N2" s="416"/>
      <c r="O2" s="416"/>
      <c r="P2" s="416"/>
      <c r="Q2" s="416"/>
      <c r="R2" s="416"/>
    </row>
    <row r="3" spans="1:18" x14ac:dyDescent="0.3">
      <c r="A3" s="374"/>
      <c r="B3" s="416"/>
      <c r="C3" s="416"/>
      <c r="D3" s="402"/>
      <c r="E3" s="322"/>
      <c r="F3" s="403"/>
      <c r="G3" s="402"/>
      <c r="H3" s="322"/>
      <c r="I3" s="322"/>
      <c r="J3" s="322"/>
      <c r="K3" s="403"/>
      <c r="L3" s="416"/>
      <c r="M3" s="416" t="s">
        <v>112</v>
      </c>
      <c r="N3" s="416"/>
      <c r="O3" s="416" t="s">
        <v>39</v>
      </c>
      <c r="P3" s="416"/>
      <c r="Q3" s="416" t="s">
        <v>354</v>
      </c>
      <c r="R3" s="416"/>
    </row>
    <row r="4" spans="1:18" x14ac:dyDescent="0.3">
      <c r="A4" s="405"/>
      <c r="B4" s="401"/>
      <c r="C4" s="443" t="s">
        <v>440</v>
      </c>
      <c r="D4" s="446"/>
      <c r="E4" s="447"/>
      <c r="F4" s="448"/>
      <c r="G4" s="80"/>
      <c r="H4" s="399" t="s">
        <v>441</v>
      </c>
      <c r="I4" s="399"/>
      <c r="J4" s="399"/>
      <c r="K4" s="400"/>
      <c r="L4" s="49">
        <v>1</v>
      </c>
      <c r="M4" s="401"/>
      <c r="N4" s="404"/>
      <c r="O4" s="401"/>
      <c r="P4" s="404"/>
      <c r="Q4" s="401"/>
      <c r="R4" s="404"/>
    </row>
    <row r="5" spans="1:18" x14ac:dyDescent="0.3">
      <c r="A5" s="405"/>
      <c r="B5" s="398"/>
      <c r="C5" s="444"/>
      <c r="D5" s="449"/>
      <c r="E5" s="450"/>
      <c r="F5" s="451"/>
      <c r="G5" s="82"/>
      <c r="H5" s="408" t="s">
        <v>295</v>
      </c>
      <c r="I5" s="408"/>
      <c r="J5" s="408"/>
      <c r="K5" s="409"/>
      <c r="L5" s="51">
        <v>3</v>
      </c>
      <c r="M5" s="398"/>
      <c r="N5" s="405"/>
      <c r="O5" s="398"/>
      <c r="P5" s="405"/>
      <c r="Q5" s="398"/>
      <c r="R5" s="405"/>
    </row>
    <row r="6" spans="1:18" x14ac:dyDescent="0.3">
      <c r="A6" s="405"/>
      <c r="B6" s="398"/>
      <c r="C6" s="444"/>
      <c r="D6" s="449"/>
      <c r="E6" s="450"/>
      <c r="F6" s="451"/>
      <c r="G6" s="82"/>
      <c r="H6" s="408" t="s">
        <v>458</v>
      </c>
      <c r="I6" s="408"/>
      <c r="J6" s="408"/>
      <c r="K6" s="409"/>
      <c r="L6" s="51">
        <v>2</v>
      </c>
      <c r="M6" s="398"/>
      <c r="N6" s="405"/>
      <c r="O6" s="398"/>
      <c r="P6" s="405"/>
      <c r="Q6" s="398"/>
      <c r="R6" s="405"/>
    </row>
    <row r="7" spans="1:18" x14ac:dyDescent="0.3">
      <c r="A7" s="405"/>
      <c r="B7" s="398"/>
      <c r="C7" s="444"/>
      <c r="D7" s="628"/>
      <c r="E7" s="520" t="s">
        <v>408</v>
      </c>
      <c r="F7" s="521"/>
      <c r="G7" s="82"/>
      <c r="H7" s="408" t="s">
        <v>461</v>
      </c>
      <c r="I7" s="408"/>
      <c r="J7" s="408"/>
      <c r="K7" s="409"/>
      <c r="L7" s="51">
        <v>2</v>
      </c>
      <c r="M7" s="422"/>
      <c r="N7" s="409" t="s">
        <v>534</v>
      </c>
      <c r="O7" s="398"/>
      <c r="P7" s="128" t="s">
        <v>422</v>
      </c>
      <c r="Q7" s="422"/>
      <c r="R7" s="409" t="s">
        <v>443</v>
      </c>
    </row>
    <row r="8" spans="1:18" x14ac:dyDescent="0.3">
      <c r="A8" s="405"/>
      <c r="B8" s="398"/>
      <c r="C8" s="444"/>
      <c r="D8" s="624"/>
      <c r="E8" s="627"/>
      <c r="F8" s="626"/>
      <c r="G8" s="82"/>
      <c r="H8" s="408" t="s">
        <v>202</v>
      </c>
      <c r="I8" s="408"/>
      <c r="J8" s="408"/>
      <c r="K8" s="409"/>
      <c r="L8" s="51">
        <v>2</v>
      </c>
      <c r="M8" s="624"/>
      <c r="N8" s="626"/>
      <c r="O8" s="398"/>
      <c r="P8" s="128" t="s">
        <v>535</v>
      </c>
      <c r="Q8" s="624"/>
      <c r="R8" s="409"/>
    </row>
    <row r="9" spans="1:18" x14ac:dyDescent="0.3">
      <c r="A9" s="405"/>
      <c r="B9" s="398"/>
      <c r="C9" s="444"/>
      <c r="D9" s="628"/>
      <c r="E9" s="627"/>
      <c r="F9" s="626"/>
      <c r="G9" s="82"/>
      <c r="H9" s="408" t="s">
        <v>204</v>
      </c>
      <c r="I9" s="408"/>
      <c r="J9" s="408"/>
      <c r="K9" s="409"/>
      <c r="L9" s="51">
        <v>1</v>
      </c>
      <c r="M9" s="422"/>
      <c r="N9" s="626"/>
      <c r="O9" s="398"/>
      <c r="P9" s="405"/>
      <c r="Q9" s="422"/>
      <c r="R9" s="626"/>
    </row>
    <row r="10" spans="1:18" s="297" customFormat="1" x14ac:dyDescent="0.3">
      <c r="A10" s="405"/>
      <c r="B10" s="398"/>
      <c r="C10" s="444"/>
      <c r="D10" s="624"/>
      <c r="E10" s="627"/>
      <c r="F10" s="626"/>
      <c r="G10" s="82"/>
      <c r="H10" s="408" t="s">
        <v>471</v>
      </c>
      <c r="I10" s="408"/>
      <c r="J10" s="408"/>
      <c r="K10" s="409"/>
      <c r="L10" s="306">
        <v>2</v>
      </c>
      <c r="M10" s="624"/>
      <c r="N10" s="626"/>
      <c r="O10" s="398"/>
      <c r="P10" s="405"/>
      <c r="Q10" s="624"/>
      <c r="R10" s="626"/>
    </row>
    <row r="11" spans="1:18" x14ac:dyDescent="0.3">
      <c r="A11" s="405"/>
      <c r="B11" s="402"/>
      <c r="C11" s="445"/>
      <c r="D11" s="623"/>
      <c r="E11" s="629"/>
      <c r="F11" s="625"/>
      <c r="G11" s="81"/>
      <c r="H11" s="406" t="s">
        <v>607</v>
      </c>
      <c r="I11" s="406"/>
      <c r="J11" s="406"/>
      <c r="K11" s="407"/>
      <c r="L11" s="54">
        <v>2</v>
      </c>
      <c r="M11" s="623"/>
      <c r="N11" s="625"/>
      <c r="O11" s="402"/>
      <c r="P11" s="403"/>
      <c r="Q11" s="623"/>
      <c r="R11" s="625"/>
    </row>
    <row r="12" spans="1:18" x14ac:dyDescent="0.3">
      <c r="A12" s="405"/>
      <c r="B12" s="401"/>
      <c r="C12" s="512" t="s">
        <v>163</v>
      </c>
      <c r="D12" s="514"/>
      <c r="E12" s="479" t="s">
        <v>435</v>
      </c>
      <c r="F12" s="480"/>
      <c r="G12" s="412"/>
      <c r="H12" s="399" t="s">
        <v>163</v>
      </c>
      <c r="I12" s="399"/>
      <c r="J12" s="399"/>
      <c r="K12" s="400"/>
      <c r="L12" s="410">
        <v>3</v>
      </c>
      <c r="M12" s="401"/>
      <c r="N12" s="400" t="s">
        <v>533</v>
      </c>
      <c r="O12" s="401"/>
      <c r="P12" s="400" t="s">
        <v>421</v>
      </c>
      <c r="Q12" s="129"/>
      <c r="R12" s="120" t="s">
        <v>229</v>
      </c>
    </row>
    <row r="13" spans="1:18" x14ac:dyDescent="0.3">
      <c r="A13" s="405"/>
      <c r="B13" s="402"/>
      <c r="C13" s="513"/>
      <c r="D13" s="423"/>
      <c r="E13" s="515"/>
      <c r="F13" s="516"/>
      <c r="G13" s="418"/>
      <c r="H13" s="406"/>
      <c r="I13" s="406"/>
      <c r="J13" s="406"/>
      <c r="K13" s="407"/>
      <c r="L13" s="411"/>
      <c r="M13" s="402"/>
      <c r="N13" s="407"/>
      <c r="O13" s="402"/>
      <c r="P13" s="407"/>
      <c r="Q13" s="62"/>
      <c r="R13" s="121" t="s">
        <v>319</v>
      </c>
    </row>
    <row r="14" spans="1:18" x14ac:dyDescent="0.3">
      <c r="A14" s="405"/>
      <c r="B14" s="401"/>
      <c r="C14" s="517" t="s">
        <v>162</v>
      </c>
      <c r="D14" s="401"/>
      <c r="E14" s="375"/>
      <c r="F14" s="404"/>
      <c r="G14" s="80"/>
      <c r="H14" s="399" t="s">
        <v>447</v>
      </c>
      <c r="I14" s="399"/>
      <c r="J14" s="399"/>
      <c r="K14" s="400"/>
      <c r="L14" s="49">
        <v>1</v>
      </c>
      <c r="M14" s="401"/>
      <c r="N14" s="404"/>
      <c r="O14" s="401"/>
      <c r="P14" s="404"/>
      <c r="Q14" s="412"/>
      <c r="R14" s="413"/>
    </row>
    <row r="15" spans="1:18" x14ac:dyDescent="0.3">
      <c r="A15" s="405"/>
      <c r="B15" s="398"/>
      <c r="C15" s="518"/>
      <c r="D15" s="398"/>
      <c r="E15" s="372"/>
      <c r="F15" s="405"/>
      <c r="G15" s="82"/>
      <c r="H15" s="408" t="s">
        <v>449</v>
      </c>
      <c r="I15" s="408"/>
      <c r="J15" s="408"/>
      <c r="K15" s="409"/>
      <c r="L15" s="51">
        <v>1</v>
      </c>
      <c r="M15" s="398"/>
      <c r="N15" s="405"/>
      <c r="O15" s="398"/>
      <c r="P15" s="405"/>
      <c r="Q15" s="414"/>
      <c r="R15" s="415"/>
    </row>
    <row r="16" spans="1:18" x14ac:dyDescent="0.3">
      <c r="A16" s="405"/>
      <c r="B16" s="398"/>
      <c r="C16" s="518"/>
      <c r="D16" s="398"/>
      <c r="E16" s="372"/>
      <c r="F16" s="405"/>
      <c r="G16" s="82"/>
      <c r="H16" s="408" t="s">
        <v>215</v>
      </c>
      <c r="I16" s="408"/>
      <c r="J16" s="408"/>
      <c r="K16" s="409"/>
      <c r="L16" s="51">
        <v>3</v>
      </c>
      <c r="M16" s="398"/>
      <c r="N16" s="405"/>
      <c r="O16" s="398"/>
      <c r="P16" s="405"/>
      <c r="Q16" s="414"/>
      <c r="R16" s="415"/>
    </row>
    <row r="17" spans="1:18" x14ac:dyDescent="0.3">
      <c r="A17" s="405"/>
      <c r="B17" s="398"/>
      <c r="C17" s="518"/>
      <c r="D17" s="398"/>
      <c r="E17" s="372"/>
      <c r="F17" s="405"/>
      <c r="G17" s="82"/>
      <c r="H17" s="408" t="s">
        <v>454</v>
      </c>
      <c r="I17" s="408"/>
      <c r="J17" s="408"/>
      <c r="K17" s="409"/>
      <c r="L17" s="51">
        <v>3</v>
      </c>
      <c r="M17" s="398"/>
      <c r="N17" s="405"/>
      <c r="O17" s="398"/>
      <c r="P17" s="405"/>
      <c r="Q17" s="414"/>
      <c r="R17" s="415"/>
    </row>
    <row r="18" spans="1:18" x14ac:dyDescent="0.3">
      <c r="A18" s="405"/>
      <c r="B18" s="398"/>
      <c r="C18" s="518"/>
      <c r="D18" s="398"/>
      <c r="E18" s="520" t="s">
        <v>408</v>
      </c>
      <c r="F18" s="521"/>
      <c r="G18" s="82"/>
      <c r="H18" s="408" t="s">
        <v>455</v>
      </c>
      <c r="I18" s="408"/>
      <c r="J18" s="408"/>
      <c r="K18" s="409"/>
      <c r="L18" s="51">
        <v>2</v>
      </c>
      <c r="M18" s="414"/>
      <c r="N18" s="119" t="s">
        <v>396</v>
      </c>
      <c r="O18" s="398"/>
      <c r="P18" s="128" t="s">
        <v>421</v>
      </c>
      <c r="Q18" s="398"/>
      <c r="R18" s="409" t="s">
        <v>274</v>
      </c>
    </row>
    <row r="19" spans="1:18" x14ac:dyDescent="0.3">
      <c r="A19" s="405"/>
      <c r="B19" s="398"/>
      <c r="C19" s="518"/>
      <c r="D19" s="398"/>
      <c r="E19" s="520"/>
      <c r="F19" s="521"/>
      <c r="G19" s="82"/>
      <c r="H19" s="408" t="s">
        <v>456</v>
      </c>
      <c r="I19" s="408"/>
      <c r="J19" s="408"/>
      <c r="K19" s="409"/>
      <c r="L19" s="51">
        <v>1</v>
      </c>
      <c r="M19" s="414"/>
      <c r="N19" s="119" t="s">
        <v>395</v>
      </c>
      <c r="O19" s="398"/>
      <c r="P19" s="128" t="s">
        <v>535</v>
      </c>
      <c r="Q19" s="398"/>
      <c r="R19" s="409"/>
    </row>
    <row r="20" spans="1:18" x14ac:dyDescent="0.3">
      <c r="A20" s="405"/>
      <c r="B20" s="398"/>
      <c r="C20" s="518"/>
      <c r="D20" s="398"/>
      <c r="E20" s="372"/>
      <c r="F20" s="405"/>
      <c r="G20" s="82"/>
      <c r="H20" s="408" t="s">
        <v>457</v>
      </c>
      <c r="I20" s="408"/>
      <c r="J20" s="408"/>
      <c r="K20" s="409"/>
      <c r="L20" s="51">
        <v>2</v>
      </c>
      <c r="M20" s="414"/>
      <c r="N20" s="84" t="s">
        <v>532</v>
      </c>
      <c r="O20" s="398"/>
      <c r="P20" s="405"/>
      <c r="Q20" s="398"/>
      <c r="R20" s="405"/>
    </row>
    <row r="21" spans="1:18" x14ac:dyDescent="0.3">
      <c r="A21" s="405"/>
      <c r="B21" s="398"/>
      <c r="C21" s="518"/>
      <c r="D21" s="398"/>
      <c r="E21" s="372"/>
      <c r="F21" s="405"/>
      <c r="G21" s="82"/>
      <c r="H21" s="408" t="s">
        <v>343</v>
      </c>
      <c r="I21" s="408"/>
      <c r="J21" s="408"/>
      <c r="K21" s="409"/>
      <c r="L21" s="51">
        <v>2</v>
      </c>
      <c r="M21" s="414"/>
      <c r="N21" s="415"/>
      <c r="O21" s="398"/>
      <c r="P21" s="405"/>
      <c r="Q21" s="398"/>
      <c r="R21" s="405"/>
    </row>
    <row r="22" spans="1:18" x14ac:dyDescent="0.3">
      <c r="A22" s="125"/>
      <c r="B22" s="398"/>
      <c r="C22" s="518"/>
      <c r="D22" s="398"/>
      <c r="E22" s="372"/>
      <c r="F22" s="405"/>
      <c r="G22" s="82"/>
      <c r="H22" s="408" t="s">
        <v>553</v>
      </c>
      <c r="I22" s="408"/>
      <c r="J22" s="408"/>
      <c r="K22" s="409"/>
      <c r="L22" s="51">
        <v>1</v>
      </c>
      <c r="M22" s="414"/>
      <c r="N22" s="415"/>
      <c r="O22" s="398"/>
      <c r="P22" s="405"/>
      <c r="Q22" s="398"/>
      <c r="R22" s="405"/>
    </row>
    <row r="23" spans="1:18" x14ac:dyDescent="0.3">
      <c r="A23" s="125"/>
      <c r="B23" s="402"/>
      <c r="C23" s="519"/>
      <c r="D23" s="402"/>
      <c r="E23" s="322"/>
      <c r="F23" s="403"/>
      <c r="G23" s="81"/>
      <c r="H23" s="406" t="s">
        <v>558</v>
      </c>
      <c r="I23" s="406"/>
      <c r="J23" s="406"/>
      <c r="K23" s="407"/>
      <c r="L23" s="54">
        <v>2</v>
      </c>
      <c r="M23" s="418"/>
      <c r="N23" s="420"/>
      <c r="O23" s="402"/>
      <c r="P23" s="403"/>
      <c r="Q23" s="402"/>
      <c r="R23" s="403"/>
    </row>
    <row r="24" spans="1:18" x14ac:dyDescent="0.3">
      <c r="A24" s="405"/>
      <c r="B24" s="401"/>
      <c r="C24" s="508" t="s">
        <v>166</v>
      </c>
      <c r="D24" s="510"/>
      <c r="E24" s="479" t="s">
        <v>408</v>
      </c>
      <c r="F24" s="480"/>
      <c r="G24" s="421"/>
      <c r="H24" s="399" t="s">
        <v>225</v>
      </c>
      <c r="I24" s="399"/>
      <c r="J24" s="399"/>
      <c r="K24" s="400"/>
      <c r="L24" s="410">
        <v>3</v>
      </c>
      <c r="M24" s="401" t="s">
        <v>214</v>
      </c>
      <c r="N24" s="404"/>
      <c r="O24" s="401"/>
      <c r="P24" s="126" t="s">
        <v>421</v>
      </c>
      <c r="Q24" s="80"/>
      <c r="R24" s="120" t="s">
        <v>217</v>
      </c>
    </row>
    <row r="25" spans="1:18" x14ac:dyDescent="0.3">
      <c r="A25" s="405"/>
      <c r="B25" s="402"/>
      <c r="C25" s="509"/>
      <c r="D25" s="423"/>
      <c r="E25" s="406"/>
      <c r="F25" s="407"/>
      <c r="G25" s="423"/>
      <c r="H25" s="406"/>
      <c r="I25" s="406"/>
      <c r="J25" s="406"/>
      <c r="K25" s="407"/>
      <c r="L25" s="411"/>
      <c r="M25" s="402"/>
      <c r="N25" s="403"/>
      <c r="O25" s="402"/>
      <c r="P25" s="127" t="s">
        <v>535</v>
      </c>
      <c r="Q25" s="81"/>
      <c r="R25" s="121" t="s">
        <v>274</v>
      </c>
    </row>
    <row r="26" spans="1:18" x14ac:dyDescent="0.3">
      <c r="A26" s="405"/>
      <c r="B26" s="421"/>
      <c r="C26" s="620" t="s">
        <v>113</v>
      </c>
      <c r="D26" s="602"/>
      <c r="E26" s="603"/>
      <c r="F26" s="604"/>
      <c r="G26" s="80"/>
      <c r="H26" s="399" t="s">
        <v>332</v>
      </c>
      <c r="I26" s="399"/>
      <c r="J26" s="399"/>
      <c r="K26" s="400"/>
      <c r="L26" s="305">
        <v>2</v>
      </c>
      <c r="M26" s="401"/>
      <c r="N26" s="404"/>
      <c r="O26" s="401"/>
      <c r="P26" s="404"/>
      <c r="Q26" s="412"/>
      <c r="R26" s="413"/>
    </row>
    <row r="27" spans="1:18" x14ac:dyDescent="0.3">
      <c r="A27" s="405"/>
      <c r="B27" s="422"/>
      <c r="C27" s="621"/>
      <c r="D27" s="511"/>
      <c r="E27" s="408" t="s">
        <v>434</v>
      </c>
      <c r="F27" s="409"/>
      <c r="G27" s="82"/>
      <c r="H27" s="408" t="s">
        <v>323</v>
      </c>
      <c r="I27" s="408"/>
      <c r="J27" s="408"/>
      <c r="K27" s="409"/>
      <c r="L27" s="306">
        <v>3</v>
      </c>
      <c r="M27" s="422"/>
      <c r="N27" s="409" t="s">
        <v>531</v>
      </c>
      <c r="O27" s="422"/>
      <c r="P27" s="409" t="s">
        <v>421</v>
      </c>
      <c r="Q27" s="422"/>
      <c r="R27" s="409" t="s">
        <v>274</v>
      </c>
    </row>
    <row r="28" spans="1:18" x14ac:dyDescent="0.3">
      <c r="A28" s="405"/>
      <c r="B28" s="422"/>
      <c r="C28" s="621"/>
      <c r="D28" s="511"/>
      <c r="E28" s="408"/>
      <c r="F28" s="409"/>
      <c r="G28" s="82"/>
      <c r="H28" s="408" t="s">
        <v>337</v>
      </c>
      <c r="I28" s="408"/>
      <c r="J28" s="408"/>
      <c r="K28" s="409"/>
      <c r="L28" s="306">
        <v>3</v>
      </c>
      <c r="M28" s="624"/>
      <c r="N28" s="409"/>
      <c r="O28" s="624"/>
      <c r="P28" s="626"/>
      <c r="Q28" s="624"/>
      <c r="R28" s="626"/>
    </row>
    <row r="29" spans="1:18" s="297" customFormat="1" x14ac:dyDescent="0.3">
      <c r="A29" s="298"/>
      <c r="B29" s="623"/>
      <c r="C29" s="622"/>
      <c r="D29" s="617"/>
      <c r="E29" s="618"/>
      <c r="F29" s="619"/>
      <c r="G29" s="81"/>
      <c r="H29" s="406" t="s">
        <v>606</v>
      </c>
      <c r="I29" s="406"/>
      <c r="J29" s="406"/>
      <c r="K29" s="407"/>
      <c r="L29" s="307">
        <v>2</v>
      </c>
      <c r="M29" s="423"/>
      <c r="N29" s="625"/>
      <c r="O29" s="423"/>
      <c r="P29" s="625"/>
      <c r="Q29" s="423"/>
      <c r="R29" s="625"/>
    </row>
    <row r="30" spans="1:18" x14ac:dyDescent="0.3">
      <c r="A30" s="405"/>
      <c r="B30" s="401"/>
      <c r="C30" s="461" t="s">
        <v>356</v>
      </c>
      <c r="D30" s="540"/>
      <c r="E30" s="541"/>
      <c r="F30" s="542"/>
      <c r="G30" s="80"/>
      <c r="H30" s="399" t="s">
        <v>356</v>
      </c>
      <c r="I30" s="399"/>
      <c r="J30" s="399"/>
      <c r="K30" s="400"/>
      <c r="L30" s="49">
        <v>3</v>
      </c>
      <c r="M30" s="401" t="s">
        <v>214</v>
      </c>
      <c r="N30" s="404"/>
      <c r="O30" s="401"/>
      <c r="P30" s="404"/>
      <c r="Q30" s="401"/>
      <c r="R30" s="404"/>
    </row>
    <row r="31" spans="1:18" x14ac:dyDescent="0.3">
      <c r="A31" s="405"/>
      <c r="B31" s="398"/>
      <c r="C31" s="462"/>
      <c r="D31" s="398"/>
      <c r="E31" s="374"/>
      <c r="F31" s="405"/>
      <c r="G31" s="82"/>
      <c r="H31" s="408" t="s">
        <v>450</v>
      </c>
      <c r="I31" s="408"/>
      <c r="J31" s="408"/>
      <c r="K31" s="409"/>
      <c r="L31" s="51">
        <v>3</v>
      </c>
      <c r="M31" s="398"/>
      <c r="N31" s="405"/>
      <c r="O31" s="398"/>
      <c r="P31" s="405"/>
      <c r="Q31" s="398"/>
      <c r="R31" s="405"/>
    </row>
    <row r="32" spans="1:18" x14ac:dyDescent="0.3">
      <c r="A32" s="405"/>
      <c r="B32" s="398"/>
      <c r="C32" s="462"/>
      <c r="D32" s="458"/>
      <c r="E32" s="408" t="s">
        <v>11</v>
      </c>
      <c r="F32" s="564" t="s">
        <v>414</v>
      </c>
      <c r="G32" s="82"/>
      <c r="H32" s="408" t="s">
        <v>285</v>
      </c>
      <c r="I32" s="408"/>
      <c r="J32" s="408"/>
      <c r="K32" s="409"/>
      <c r="L32" s="51">
        <v>2</v>
      </c>
      <c r="M32" s="398"/>
      <c r="N32" s="405"/>
      <c r="O32" s="398"/>
      <c r="P32" s="409" t="s">
        <v>422</v>
      </c>
      <c r="Q32" s="398"/>
      <c r="R32" s="119" t="s">
        <v>229</v>
      </c>
    </row>
    <row r="33" spans="1:20" x14ac:dyDescent="0.3">
      <c r="A33" s="405"/>
      <c r="B33" s="398"/>
      <c r="C33" s="462"/>
      <c r="D33" s="398"/>
      <c r="E33" s="408"/>
      <c r="F33" s="405"/>
      <c r="G33" s="82"/>
      <c r="H33" s="408" t="s">
        <v>348</v>
      </c>
      <c r="I33" s="408"/>
      <c r="J33" s="408"/>
      <c r="K33" s="409"/>
      <c r="L33" s="51">
        <v>3</v>
      </c>
      <c r="M33" s="398"/>
      <c r="N33" s="405"/>
      <c r="O33" s="398"/>
      <c r="P33" s="409"/>
      <c r="Q33" s="398"/>
      <c r="R33" s="119" t="s">
        <v>319</v>
      </c>
    </row>
    <row r="34" spans="1:20" x14ac:dyDescent="0.3">
      <c r="A34" s="405"/>
      <c r="B34" s="398"/>
      <c r="C34" s="462"/>
      <c r="D34" s="458"/>
      <c r="E34" s="374"/>
      <c r="F34" s="405"/>
      <c r="G34" s="82"/>
      <c r="H34" s="408" t="s">
        <v>561</v>
      </c>
      <c r="I34" s="342"/>
      <c r="J34" s="342"/>
      <c r="K34" s="409"/>
      <c r="L34" s="51">
        <v>2</v>
      </c>
      <c r="M34" s="398"/>
      <c r="N34" s="405"/>
      <c r="O34" s="398"/>
      <c r="P34" s="405"/>
      <c r="Q34" s="398"/>
      <c r="R34" s="119" t="s">
        <v>567</v>
      </c>
    </row>
    <row r="35" spans="1:20" x14ac:dyDescent="0.3">
      <c r="A35" s="405"/>
      <c r="B35" s="402"/>
      <c r="C35" s="463"/>
      <c r="D35" s="402"/>
      <c r="E35" s="322"/>
      <c r="F35" s="403"/>
      <c r="G35" s="81"/>
      <c r="H35" s="406" t="s">
        <v>558</v>
      </c>
      <c r="I35" s="406"/>
      <c r="J35" s="406"/>
      <c r="K35" s="407"/>
      <c r="L35" s="54">
        <v>2</v>
      </c>
      <c r="M35" s="402"/>
      <c r="N35" s="403"/>
      <c r="O35" s="402"/>
      <c r="P35" s="403"/>
      <c r="Q35" s="418"/>
      <c r="R35" s="420"/>
    </row>
    <row r="36" spans="1:20" x14ac:dyDescent="0.3">
      <c r="A36" s="405"/>
      <c r="B36" s="421"/>
      <c r="C36" s="474" t="s">
        <v>114</v>
      </c>
      <c r="D36" s="477"/>
      <c r="E36" s="479" t="s">
        <v>473</v>
      </c>
      <c r="F36" s="480"/>
      <c r="G36" s="80"/>
      <c r="H36" s="399" t="s">
        <v>258</v>
      </c>
      <c r="I36" s="399"/>
      <c r="J36" s="399"/>
      <c r="K36" s="400"/>
      <c r="L36" s="49">
        <v>2</v>
      </c>
      <c r="M36" s="401"/>
      <c r="N36" s="126" t="s">
        <v>528</v>
      </c>
      <c r="O36" s="401"/>
      <c r="P36" s="404"/>
      <c r="Q36" s="401" t="s">
        <v>214</v>
      </c>
      <c r="R36" s="404"/>
      <c r="T36" s="36"/>
    </row>
    <row r="37" spans="1:20" x14ac:dyDescent="0.3">
      <c r="A37" s="405"/>
      <c r="B37" s="422"/>
      <c r="C37" s="475"/>
      <c r="D37" s="478"/>
      <c r="E37" s="520" t="s">
        <v>435</v>
      </c>
      <c r="F37" s="521"/>
      <c r="G37" s="82"/>
      <c r="H37" s="408" t="s">
        <v>312</v>
      </c>
      <c r="I37" s="408"/>
      <c r="J37" s="408"/>
      <c r="K37" s="409"/>
      <c r="L37" s="51">
        <v>2</v>
      </c>
      <c r="M37" s="398"/>
      <c r="N37" s="128" t="s">
        <v>529</v>
      </c>
      <c r="O37" s="69"/>
      <c r="P37" s="128" t="s">
        <v>421</v>
      </c>
      <c r="Q37" s="398"/>
      <c r="R37" s="405"/>
      <c r="T37" s="36"/>
    </row>
    <row r="38" spans="1:20" x14ac:dyDescent="0.3">
      <c r="A38" s="405"/>
      <c r="B38" s="423"/>
      <c r="C38" s="476"/>
      <c r="D38" s="605"/>
      <c r="E38" s="606"/>
      <c r="F38" s="607"/>
      <c r="G38" s="418"/>
      <c r="H38" s="419"/>
      <c r="I38" s="419"/>
      <c r="J38" s="419"/>
      <c r="K38" s="420"/>
      <c r="L38" s="54"/>
      <c r="M38" s="402"/>
      <c r="N38" s="127" t="s">
        <v>527</v>
      </c>
      <c r="O38" s="402"/>
      <c r="P38" s="403"/>
      <c r="Q38" s="402"/>
      <c r="R38" s="403"/>
      <c r="T38" s="36"/>
    </row>
    <row r="39" spans="1:20" x14ac:dyDescent="0.3">
      <c r="A39" s="112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T39" s="36"/>
    </row>
    <row r="40" spans="1:20" x14ac:dyDescent="0.3">
      <c r="A40" s="405"/>
      <c r="B40" s="401"/>
      <c r="C40" s="565" t="s">
        <v>363</v>
      </c>
      <c r="D40" s="568"/>
      <c r="E40" s="133" t="s">
        <v>406</v>
      </c>
      <c r="F40" s="134">
        <v>0.1</v>
      </c>
      <c r="G40" s="401"/>
      <c r="H40" s="399" t="s">
        <v>238</v>
      </c>
      <c r="I40" s="399"/>
      <c r="J40" s="399"/>
      <c r="K40" s="400"/>
      <c r="L40" s="49">
        <v>5</v>
      </c>
      <c r="M40" s="401" t="s">
        <v>214</v>
      </c>
      <c r="N40" s="404"/>
      <c r="O40" s="401"/>
      <c r="P40" s="404"/>
      <c r="Q40" s="135"/>
      <c r="R40" s="126" t="s">
        <v>442</v>
      </c>
    </row>
    <row r="41" spans="1:20" x14ac:dyDescent="0.3">
      <c r="A41" s="405"/>
      <c r="B41" s="398"/>
      <c r="C41" s="566"/>
      <c r="D41" s="569"/>
      <c r="E41" s="124" t="s">
        <v>411</v>
      </c>
      <c r="F41" s="136">
        <v>-0.2</v>
      </c>
      <c r="G41" s="398"/>
      <c r="H41" s="408" t="s">
        <v>552</v>
      </c>
      <c r="I41" s="408"/>
      <c r="J41" s="408"/>
      <c r="K41" s="409"/>
      <c r="L41" s="51">
        <v>2</v>
      </c>
      <c r="M41" s="398"/>
      <c r="N41" s="405"/>
      <c r="O41" s="398"/>
      <c r="P41" s="108" t="s">
        <v>357</v>
      </c>
      <c r="Q41" s="69"/>
      <c r="R41" s="128" t="s">
        <v>518</v>
      </c>
    </row>
    <row r="42" spans="1:20" x14ac:dyDescent="0.3">
      <c r="A42" s="405"/>
      <c r="B42" s="398"/>
      <c r="C42" s="566"/>
      <c r="D42" s="569"/>
      <c r="E42" s="124" t="s">
        <v>165</v>
      </c>
      <c r="F42" s="136">
        <v>-0.3</v>
      </c>
      <c r="G42" s="398"/>
      <c r="H42" s="295" t="s">
        <v>165</v>
      </c>
      <c r="I42" s="293" t="s">
        <v>316</v>
      </c>
      <c r="J42" s="296"/>
      <c r="K42" s="294" t="s">
        <v>357</v>
      </c>
      <c r="L42" s="51">
        <v>2</v>
      </c>
      <c r="M42" s="398"/>
      <c r="N42" s="405"/>
      <c r="O42" s="398"/>
      <c r="P42" s="128" t="s">
        <v>442</v>
      </c>
      <c r="Q42" s="69"/>
      <c r="R42" s="128" t="s">
        <v>519</v>
      </c>
    </row>
    <row r="43" spans="1:20" x14ac:dyDescent="0.3">
      <c r="A43" s="405"/>
      <c r="B43" s="402"/>
      <c r="C43" s="567"/>
      <c r="D43" s="570"/>
      <c r="E43" s="130" t="s">
        <v>162</v>
      </c>
      <c r="F43" s="137">
        <v>-0.3</v>
      </c>
      <c r="G43" s="402"/>
      <c r="H43" s="322"/>
      <c r="I43" s="322"/>
      <c r="J43" s="322"/>
      <c r="K43" s="403"/>
      <c r="L43" s="54"/>
      <c r="M43" s="402"/>
      <c r="N43" s="403"/>
      <c r="O43" s="402"/>
      <c r="P43" s="403"/>
      <c r="Q43" s="138"/>
      <c r="R43" s="127" t="s">
        <v>520</v>
      </c>
    </row>
    <row r="44" spans="1:20" x14ac:dyDescent="0.3">
      <c r="A44" s="405"/>
      <c r="B44" s="401"/>
      <c r="C44" s="481" t="s">
        <v>357</v>
      </c>
      <c r="D44" s="466"/>
      <c r="E44" s="467"/>
      <c r="F44" s="468"/>
      <c r="G44" s="129"/>
      <c r="H44" s="399" t="s">
        <v>311</v>
      </c>
      <c r="I44" s="399"/>
      <c r="J44" s="399"/>
      <c r="K44" s="400"/>
      <c r="L44" s="49">
        <v>2</v>
      </c>
      <c r="M44" s="401"/>
      <c r="N44" s="404"/>
      <c r="O44" s="401"/>
      <c r="P44" s="404"/>
      <c r="Q44" s="412"/>
      <c r="R44" s="413"/>
    </row>
    <row r="45" spans="1:20" x14ac:dyDescent="0.3">
      <c r="A45" s="405"/>
      <c r="B45" s="398"/>
      <c r="C45" s="482"/>
      <c r="D45" s="469"/>
      <c r="E45" s="470"/>
      <c r="F45" s="471"/>
      <c r="G45" s="82"/>
      <c r="H45" s="408" t="s">
        <v>278</v>
      </c>
      <c r="I45" s="408"/>
      <c r="J45" s="408"/>
      <c r="K45" s="409"/>
      <c r="L45" s="51">
        <v>3</v>
      </c>
      <c r="M45" s="398"/>
      <c r="N45" s="405"/>
      <c r="O45" s="398"/>
      <c r="P45" s="405"/>
      <c r="Q45" s="414"/>
      <c r="R45" s="415"/>
    </row>
    <row r="46" spans="1:20" x14ac:dyDescent="0.3">
      <c r="A46" s="405"/>
      <c r="B46" s="398"/>
      <c r="C46" s="482"/>
      <c r="D46" s="469"/>
      <c r="E46" s="470"/>
      <c r="F46" s="471"/>
      <c r="G46" s="82"/>
      <c r="H46" s="408" t="s">
        <v>270</v>
      </c>
      <c r="I46" s="408"/>
      <c r="J46" s="408"/>
      <c r="K46" s="409"/>
      <c r="L46" s="51">
        <v>2</v>
      </c>
      <c r="M46" s="398"/>
      <c r="N46" s="405"/>
      <c r="O46" s="398"/>
      <c r="P46" s="405"/>
      <c r="Q46" s="414"/>
      <c r="R46" s="415"/>
    </row>
    <row r="47" spans="1:20" x14ac:dyDescent="0.3">
      <c r="A47" s="405"/>
      <c r="B47" s="398"/>
      <c r="C47" s="482"/>
      <c r="D47" s="469"/>
      <c r="E47" s="470"/>
      <c r="F47" s="471"/>
      <c r="G47" s="82"/>
      <c r="H47" s="408" t="s">
        <v>271</v>
      </c>
      <c r="I47" s="408"/>
      <c r="J47" s="408"/>
      <c r="K47" s="409"/>
      <c r="L47" s="51">
        <v>2</v>
      </c>
      <c r="M47" s="398"/>
      <c r="N47" s="405"/>
      <c r="O47" s="398"/>
      <c r="P47" s="405"/>
      <c r="Q47" s="414"/>
      <c r="R47" s="415"/>
    </row>
    <row r="48" spans="1:20" x14ac:dyDescent="0.3">
      <c r="A48" s="405"/>
      <c r="B48" s="398"/>
      <c r="C48" s="482"/>
      <c r="D48" s="469"/>
      <c r="E48" s="470"/>
      <c r="F48" s="471"/>
      <c r="G48" s="82"/>
      <c r="H48" s="408" t="s">
        <v>272</v>
      </c>
      <c r="I48" s="408"/>
      <c r="J48" s="408"/>
      <c r="K48" s="409"/>
      <c r="L48" s="51">
        <v>2</v>
      </c>
      <c r="M48" s="398"/>
      <c r="N48" s="405"/>
      <c r="O48" s="398"/>
      <c r="P48" s="405"/>
      <c r="Q48" s="414"/>
      <c r="R48" s="415"/>
    </row>
    <row r="49" spans="1:18" x14ac:dyDescent="0.3">
      <c r="A49" s="405"/>
      <c r="B49" s="398"/>
      <c r="C49" s="482"/>
      <c r="D49" s="469"/>
      <c r="E49" s="470"/>
      <c r="F49" s="471"/>
      <c r="G49" s="82"/>
      <c r="H49" s="408" t="s">
        <v>280</v>
      </c>
      <c r="I49" s="408"/>
      <c r="J49" s="408"/>
      <c r="K49" s="409"/>
      <c r="L49" s="51">
        <v>3</v>
      </c>
      <c r="M49" s="398"/>
      <c r="N49" s="405"/>
      <c r="O49" s="398"/>
      <c r="P49" s="405"/>
      <c r="Q49" s="414"/>
      <c r="R49" s="415"/>
    </row>
    <row r="50" spans="1:18" x14ac:dyDescent="0.3">
      <c r="A50" s="405"/>
      <c r="B50" s="398"/>
      <c r="C50" s="482"/>
      <c r="D50" s="469"/>
      <c r="E50" s="470"/>
      <c r="F50" s="471"/>
      <c r="G50" s="82"/>
      <c r="H50" s="408" t="s">
        <v>282</v>
      </c>
      <c r="I50" s="408"/>
      <c r="J50" s="408"/>
      <c r="K50" s="409"/>
      <c r="L50" s="51">
        <v>2</v>
      </c>
      <c r="M50" s="398"/>
      <c r="N50" s="405"/>
      <c r="O50" s="398"/>
      <c r="P50" s="128" t="s">
        <v>422</v>
      </c>
      <c r="Q50" s="414"/>
      <c r="R50" s="119" t="s">
        <v>443</v>
      </c>
    </row>
    <row r="51" spans="1:18" x14ac:dyDescent="0.3">
      <c r="A51" s="405"/>
      <c r="B51" s="398"/>
      <c r="C51" s="482"/>
      <c r="D51" s="504"/>
      <c r="E51" s="472" t="s">
        <v>423</v>
      </c>
      <c r="F51" s="473"/>
      <c r="G51" s="82"/>
      <c r="H51" s="408" t="s">
        <v>283</v>
      </c>
      <c r="I51" s="408"/>
      <c r="J51" s="408"/>
      <c r="K51" s="409"/>
      <c r="L51" s="51">
        <v>4</v>
      </c>
      <c r="M51" s="398"/>
      <c r="N51" s="119" t="s">
        <v>399</v>
      </c>
      <c r="O51" s="398"/>
      <c r="P51" s="119" t="s">
        <v>538</v>
      </c>
      <c r="Q51" s="414"/>
      <c r="R51" s="119" t="s">
        <v>274</v>
      </c>
    </row>
    <row r="52" spans="1:18" x14ac:dyDescent="0.3">
      <c r="A52" s="405"/>
      <c r="B52" s="398"/>
      <c r="C52" s="482"/>
      <c r="D52" s="504"/>
      <c r="E52" s="124" t="s">
        <v>407</v>
      </c>
      <c r="F52" s="136">
        <v>0.4</v>
      </c>
      <c r="G52" s="82"/>
      <c r="H52" s="408" t="s">
        <v>459</v>
      </c>
      <c r="I52" s="408"/>
      <c r="J52" s="408"/>
      <c r="K52" s="409"/>
      <c r="L52" s="51">
        <v>2</v>
      </c>
      <c r="M52" s="398"/>
      <c r="N52" s="119" t="s">
        <v>233</v>
      </c>
      <c r="O52" s="398"/>
      <c r="P52" s="128" t="s">
        <v>539</v>
      </c>
      <c r="Q52" s="414"/>
      <c r="R52" s="119" t="s">
        <v>363</v>
      </c>
    </row>
    <row r="53" spans="1:18" x14ac:dyDescent="0.3">
      <c r="A53" s="405"/>
      <c r="B53" s="398"/>
      <c r="C53" s="482"/>
      <c r="D53" s="504"/>
      <c r="E53" s="124" t="s">
        <v>406</v>
      </c>
      <c r="F53" s="136">
        <v>-0.2</v>
      </c>
      <c r="G53" s="82"/>
      <c r="H53" s="408" t="s">
        <v>286</v>
      </c>
      <c r="I53" s="408"/>
      <c r="J53" s="408"/>
      <c r="K53" s="409"/>
      <c r="L53" s="51">
        <v>2</v>
      </c>
      <c r="M53" s="398"/>
      <c r="N53" s="405"/>
      <c r="O53" s="398"/>
      <c r="P53" s="128" t="s">
        <v>522</v>
      </c>
      <c r="Q53" s="414"/>
      <c r="R53" s="128" t="s">
        <v>521</v>
      </c>
    </row>
    <row r="54" spans="1:18" x14ac:dyDescent="0.3">
      <c r="A54" s="405"/>
      <c r="B54" s="398"/>
      <c r="C54" s="482"/>
      <c r="D54" s="398"/>
      <c r="E54" s="372"/>
      <c r="F54" s="405"/>
      <c r="G54" s="82"/>
      <c r="H54" s="408" t="s">
        <v>275</v>
      </c>
      <c r="I54" s="408"/>
      <c r="J54" s="408"/>
      <c r="K54" s="409"/>
      <c r="L54" s="51">
        <v>2</v>
      </c>
      <c r="M54" s="398"/>
      <c r="N54" s="405"/>
      <c r="O54" s="398"/>
      <c r="P54" s="405"/>
      <c r="Q54" s="414"/>
      <c r="R54" s="128" t="s">
        <v>522</v>
      </c>
    </row>
    <row r="55" spans="1:18" x14ac:dyDescent="0.3">
      <c r="A55" s="405"/>
      <c r="B55" s="398"/>
      <c r="C55" s="482"/>
      <c r="D55" s="398"/>
      <c r="E55" s="372"/>
      <c r="F55" s="405"/>
      <c r="G55" s="82"/>
      <c r="H55" s="408" t="s">
        <v>461</v>
      </c>
      <c r="I55" s="408"/>
      <c r="J55" s="408"/>
      <c r="K55" s="409"/>
      <c r="L55" s="51">
        <v>2</v>
      </c>
      <c r="M55" s="398"/>
      <c r="N55" s="405"/>
      <c r="O55" s="398"/>
      <c r="P55" s="405"/>
      <c r="Q55" s="414"/>
      <c r="R55" s="415"/>
    </row>
    <row r="56" spans="1:18" x14ac:dyDescent="0.3">
      <c r="A56" s="405"/>
      <c r="B56" s="398"/>
      <c r="C56" s="482"/>
      <c r="D56" s="398"/>
      <c r="E56" s="372"/>
      <c r="F56" s="405"/>
      <c r="G56" s="82"/>
      <c r="H56" s="408" t="s">
        <v>472</v>
      </c>
      <c r="I56" s="408"/>
      <c r="J56" s="408"/>
      <c r="K56" s="409"/>
      <c r="L56" s="51">
        <v>2</v>
      </c>
      <c r="M56" s="398"/>
      <c r="N56" s="405"/>
      <c r="O56" s="398"/>
      <c r="P56" s="405"/>
      <c r="Q56" s="414"/>
      <c r="R56" s="415"/>
    </row>
    <row r="57" spans="1:18" x14ac:dyDescent="0.3">
      <c r="A57" s="405"/>
      <c r="B57" s="398"/>
      <c r="C57" s="482"/>
      <c r="D57" s="398"/>
      <c r="E57" s="372"/>
      <c r="F57" s="405"/>
      <c r="G57" s="82"/>
      <c r="H57" s="408" t="s">
        <v>554</v>
      </c>
      <c r="I57" s="408"/>
      <c r="J57" s="408"/>
      <c r="K57" s="409"/>
      <c r="L57" s="51">
        <v>2</v>
      </c>
      <c r="M57" s="398"/>
      <c r="N57" s="405"/>
      <c r="O57" s="398"/>
      <c r="P57" s="405"/>
      <c r="Q57" s="414"/>
      <c r="R57" s="415"/>
    </row>
    <row r="58" spans="1:18" x14ac:dyDescent="0.3">
      <c r="A58" s="405"/>
      <c r="B58" s="398"/>
      <c r="C58" s="482"/>
      <c r="D58" s="398"/>
      <c r="E58" s="372"/>
      <c r="F58" s="405"/>
      <c r="G58" s="82"/>
      <c r="H58" s="408" t="s">
        <v>555</v>
      </c>
      <c r="I58" s="342"/>
      <c r="J58" s="342"/>
      <c r="K58" s="409"/>
      <c r="L58" s="51">
        <v>2</v>
      </c>
      <c r="M58" s="398"/>
      <c r="N58" s="405"/>
      <c r="O58" s="398"/>
      <c r="P58" s="405"/>
      <c r="Q58" s="414"/>
      <c r="R58" s="415"/>
    </row>
    <row r="59" spans="1:18" x14ac:dyDescent="0.3">
      <c r="A59" s="405"/>
      <c r="B59" s="402"/>
      <c r="C59" s="483"/>
      <c r="D59" s="402"/>
      <c r="E59" s="322"/>
      <c r="F59" s="403"/>
      <c r="G59" s="62"/>
      <c r="H59" s="139" t="s">
        <v>442</v>
      </c>
      <c r="I59" s="140" t="s">
        <v>316</v>
      </c>
      <c r="J59" s="107"/>
      <c r="K59" s="141" t="s">
        <v>442</v>
      </c>
      <c r="L59" s="54">
        <v>2</v>
      </c>
      <c r="M59" s="402"/>
      <c r="N59" s="403"/>
      <c r="O59" s="402"/>
      <c r="P59" s="403"/>
      <c r="Q59" s="418"/>
      <c r="R59" s="420"/>
    </row>
    <row r="60" spans="1:18" x14ac:dyDescent="0.3">
      <c r="A60" s="405"/>
      <c r="B60" s="421"/>
      <c r="C60" s="537" t="s">
        <v>165</v>
      </c>
      <c r="D60" s="401"/>
      <c r="E60" s="375"/>
      <c r="F60" s="404"/>
      <c r="G60" s="129"/>
      <c r="H60" s="399" t="s">
        <v>230</v>
      </c>
      <c r="I60" s="399"/>
      <c r="J60" s="399"/>
      <c r="K60" s="400"/>
      <c r="L60" s="49">
        <v>3</v>
      </c>
      <c r="M60" s="401"/>
      <c r="N60" s="404"/>
      <c r="O60" s="401"/>
      <c r="P60" s="404"/>
      <c r="Q60" s="412"/>
      <c r="R60" s="413"/>
    </row>
    <row r="61" spans="1:18" x14ac:dyDescent="0.3">
      <c r="A61" s="405"/>
      <c r="B61" s="422"/>
      <c r="C61" s="538"/>
      <c r="D61" s="398"/>
      <c r="E61" s="372"/>
      <c r="F61" s="405"/>
      <c r="G61" s="132"/>
      <c r="H61" s="408" t="s">
        <v>245</v>
      </c>
      <c r="I61" s="408"/>
      <c r="J61" s="408"/>
      <c r="K61" s="409"/>
      <c r="L61" s="51">
        <v>2</v>
      </c>
      <c r="M61" s="398"/>
      <c r="N61" s="405"/>
      <c r="O61" s="398"/>
      <c r="P61" s="405"/>
      <c r="Q61" s="414"/>
      <c r="R61" s="415"/>
    </row>
    <row r="62" spans="1:18" x14ac:dyDescent="0.3">
      <c r="A62" s="405"/>
      <c r="B62" s="422"/>
      <c r="C62" s="538"/>
      <c r="D62" s="398"/>
      <c r="E62" s="372"/>
      <c r="F62" s="405"/>
      <c r="G62" s="82"/>
      <c r="H62" s="408" t="s">
        <v>232</v>
      </c>
      <c r="I62" s="408"/>
      <c r="J62" s="408"/>
      <c r="K62" s="409"/>
      <c r="L62" s="51">
        <v>2</v>
      </c>
      <c r="M62" s="398"/>
      <c r="N62" s="405"/>
      <c r="O62" s="398"/>
      <c r="P62" s="405"/>
      <c r="Q62" s="414"/>
      <c r="R62" s="415"/>
    </row>
    <row r="63" spans="1:18" x14ac:dyDescent="0.3">
      <c r="A63" s="405"/>
      <c r="B63" s="422"/>
      <c r="C63" s="538"/>
      <c r="D63" s="398"/>
      <c r="E63" s="142" t="s">
        <v>401</v>
      </c>
      <c r="F63" s="143">
        <v>65</v>
      </c>
      <c r="G63" s="36"/>
      <c r="H63" s="408" t="s">
        <v>237</v>
      </c>
      <c r="I63" s="408"/>
      <c r="J63" s="408"/>
      <c r="K63" s="409"/>
      <c r="L63" s="51">
        <v>1</v>
      </c>
      <c r="M63" s="398"/>
      <c r="N63" s="405"/>
      <c r="O63" s="398"/>
      <c r="P63" s="128" t="s">
        <v>421</v>
      </c>
      <c r="Q63" s="69"/>
      <c r="R63" s="128" t="s">
        <v>274</v>
      </c>
    </row>
    <row r="64" spans="1:18" x14ac:dyDescent="0.3">
      <c r="A64" s="405"/>
      <c r="B64" s="422"/>
      <c r="C64" s="538"/>
      <c r="D64" s="398"/>
      <c r="E64" s="124" t="s">
        <v>406</v>
      </c>
      <c r="F64" s="136">
        <v>0.4</v>
      </c>
      <c r="G64" s="36"/>
      <c r="H64" s="484" t="s">
        <v>412</v>
      </c>
      <c r="I64" s="484"/>
      <c r="J64" s="484"/>
      <c r="K64" s="485"/>
      <c r="L64" s="51">
        <v>1</v>
      </c>
      <c r="M64" s="398"/>
      <c r="N64" s="119" t="s">
        <v>398</v>
      </c>
      <c r="O64" s="398"/>
      <c r="P64" s="128" t="s">
        <v>535</v>
      </c>
      <c r="Q64" s="69"/>
      <c r="R64" s="128" t="s">
        <v>523</v>
      </c>
    </row>
    <row r="65" spans="1:18" x14ac:dyDescent="0.3">
      <c r="A65" s="405"/>
      <c r="B65" s="422"/>
      <c r="C65" s="538"/>
      <c r="D65" s="398"/>
      <c r="E65" s="124" t="s">
        <v>407</v>
      </c>
      <c r="F65" s="136">
        <v>-0.2</v>
      </c>
      <c r="G65" s="36"/>
      <c r="H65" s="408" t="s">
        <v>244</v>
      </c>
      <c r="I65" s="408"/>
      <c r="J65" s="408"/>
      <c r="K65" s="409"/>
      <c r="L65" s="51">
        <v>2</v>
      </c>
      <c r="M65" s="398"/>
      <c r="N65" s="119" t="s">
        <v>281</v>
      </c>
      <c r="O65" s="398"/>
      <c r="P65" s="128" t="s">
        <v>540</v>
      </c>
      <c r="Q65" s="69"/>
      <c r="R65" s="128" t="s">
        <v>524</v>
      </c>
    </row>
    <row r="66" spans="1:18" x14ac:dyDescent="0.3">
      <c r="A66" s="405"/>
      <c r="B66" s="422"/>
      <c r="C66" s="538"/>
      <c r="D66" s="398"/>
      <c r="E66" s="464" t="s">
        <v>408</v>
      </c>
      <c r="F66" s="465"/>
      <c r="H66" s="342" t="s">
        <v>557</v>
      </c>
      <c r="I66" s="342"/>
      <c r="J66" s="342"/>
      <c r="K66" s="409"/>
      <c r="L66" s="51">
        <v>2</v>
      </c>
      <c r="M66" s="398"/>
      <c r="N66" s="405"/>
      <c r="O66" s="398"/>
      <c r="P66" s="128" t="s">
        <v>524</v>
      </c>
      <c r="Q66" s="398"/>
      <c r="R66" s="405"/>
    </row>
    <row r="67" spans="1:18" x14ac:dyDescent="0.3">
      <c r="A67" s="405"/>
      <c r="B67" s="422"/>
      <c r="C67" s="538"/>
      <c r="D67" s="531"/>
      <c r="E67" s="532"/>
      <c r="F67" s="533"/>
      <c r="G67" s="132"/>
      <c r="H67" s="124" t="s">
        <v>363</v>
      </c>
      <c r="I67" s="113" t="s">
        <v>316</v>
      </c>
      <c r="J67" s="112"/>
      <c r="K67" s="119" t="s">
        <v>409</v>
      </c>
      <c r="L67" s="51">
        <v>2</v>
      </c>
      <c r="M67" s="398"/>
      <c r="N67" s="405"/>
      <c r="O67" s="398"/>
      <c r="P67" s="405"/>
      <c r="Q67" s="398"/>
      <c r="R67" s="405"/>
    </row>
    <row r="68" spans="1:18" x14ac:dyDescent="0.3">
      <c r="A68" s="405"/>
      <c r="B68" s="423"/>
      <c r="C68" s="539"/>
      <c r="D68" s="534"/>
      <c r="E68" s="535"/>
      <c r="F68" s="536"/>
      <c r="G68" s="62"/>
      <c r="H68" s="130" t="s">
        <v>409</v>
      </c>
      <c r="I68" s="140" t="s">
        <v>316</v>
      </c>
      <c r="J68" s="107"/>
      <c r="K68" s="121" t="s">
        <v>409</v>
      </c>
      <c r="L68" s="54">
        <v>2</v>
      </c>
      <c r="M68" s="402"/>
      <c r="N68" s="403"/>
      <c r="O68" s="402"/>
      <c r="P68" s="403"/>
      <c r="Q68" s="402"/>
      <c r="R68" s="403"/>
    </row>
    <row r="69" spans="1:18" x14ac:dyDescent="0.3">
      <c r="A69" s="405"/>
      <c r="B69" s="401"/>
      <c r="C69" s="452" t="s">
        <v>355</v>
      </c>
      <c r="D69" s="455"/>
      <c r="E69" s="456"/>
      <c r="F69" s="457"/>
      <c r="G69" s="80"/>
      <c r="H69" s="399" t="s">
        <v>253</v>
      </c>
      <c r="I69" s="399"/>
      <c r="J69" s="399"/>
      <c r="K69" s="400"/>
      <c r="L69" s="49">
        <v>2</v>
      </c>
      <c r="M69" s="401" t="s">
        <v>214</v>
      </c>
      <c r="N69" s="404"/>
      <c r="O69" s="401"/>
      <c r="P69" s="404"/>
      <c r="Q69" s="129"/>
      <c r="R69" s="120" t="s">
        <v>229</v>
      </c>
    </row>
    <row r="70" spans="1:18" x14ac:dyDescent="0.3">
      <c r="A70" s="405"/>
      <c r="B70" s="398"/>
      <c r="C70" s="453"/>
      <c r="D70" s="507"/>
      <c r="E70" s="408" t="s">
        <v>423</v>
      </c>
      <c r="F70" s="409"/>
      <c r="G70" s="82"/>
      <c r="H70" s="408" t="s">
        <v>253</v>
      </c>
      <c r="I70" s="408"/>
      <c r="J70" s="408"/>
      <c r="K70" s="409"/>
      <c r="L70" s="51">
        <v>3</v>
      </c>
      <c r="M70" s="398"/>
      <c r="N70" s="405"/>
      <c r="O70" s="398"/>
      <c r="P70" s="409" t="s">
        <v>422</v>
      </c>
      <c r="Q70" s="82"/>
      <c r="R70" s="119" t="s">
        <v>320</v>
      </c>
    </row>
    <row r="71" spans="1:18" x14ac:dyDescent="0.3">
      <c r="A71" s="405"/>
      <c r="B71" s="398"/>
      <c r="C71" s="453"/>
      <c r="D71" s="507"/>
      <c r="E71" s="408"/>
      <c r="F71" s="409"/>
      <c r="G71" s="82"/>
      <c r="H71" s="526" t="s">
        <v>469</v>
      </c>
      <c r="I71" s="526"/>
      <c r="J71" s="526"/>
      <c r="K71" s="527"/>
      <c r="L71" s="51">
        <v>2</v>
      </c>
      <c r="M71" s="398"/>
      <c r="N71" s="405"/>
      <c r="O71" s="398"/>
      <c r="P71" s="409"/>
      <c r="Q71" s="132"/>
      <c r="R71" s="119" t="s">
        <v>567</v>
      </c>
    </row>
    <row r="72" spans="1:18" x14ac:dyDescent="0.3">
      <c r="A72" s="405"/>
      <c r="B72" s="402"/>
      <c r="C72" s="454"/>
      <c r="D72" s="528"/>
      <c r="E72" s="529"/>
      <c r="F72" s="530"/>
      <c r="G72" s="36"/>
      <c r="H72" s="406" t="s">
        <v>341</v>
      </c>
      <c r="I72" s="406"/>
      <c r="J72" s="406"/>
      <c r="K72" s="407"/>
      <c r="L72" s="54">
        <v>3</v>
      </c>
      <c r="M72" s="402"/>
      <c r="N72" s="403"/>
      <c r="O72" s="402"/>
      <c r="P72" s="403"/>
      <c r="Q72" s="402"/>
      <c r="R72" s="403"/>
    </row>
    <row r="73" spans="1:18" x14ac:dyDescent="0.3">
      <c r="A73" s="405"/>
      <c r="B73" s="421"/>
      <c r="C73" s="522" t="s">
        <v>370</v>
      </c>
      <c r="D73" s="608"/>
      <c r="E73" s="609"/>
      <c r="F73" s="610"/>
      <c r="G73" s="80"/>
      <c r="H73" s="399" t="s">
        <v>464</v>
      </c>
      <c r="I73" s="399"/>
      <c r="J73" s="399"/>
      <c r="K73" s="400"/>
      <c r="L73" s="49">
        <v>2</v>
      </c>
      <c r="M73" s="401"/>
      <c r="N73" s="404"/>
      <c r="O73" s="401"/>
      <c r="P73" s="404"/>
      <c r="Q73" s="412"/>
      <c r="R73" s="413"/>
    </row>
    <row r="74" spans="1:18" x14ac:dyDescent="0.3">
      <c r="A74" s="405"/>
      <c r="B74" s="422"/>
      <c r="C74" s="523"/>
      <c r="D74" s="611"/>
      <c r="E74" s="612"/>
      <c r="F74" s="613"/>
      <c r="G74" s="82"/>
      <c r="H74" s="408" t="s">
        <v>202</v>
      </c>
      <c r="I74" s="408"/>
      <c r="J74" s="408"/>
      <c r="K74" s="409"/>
      <c r="L74" s="51">
        <v>2</v>
      </c>
      <c r="M74" s="398"/>
      <c r="N74" s="405"/>
      <c r="O74" s="398"/>
      <c r="P74" s="405"/>
      <c r="Q74" s="414"/>
      <c r="R74" s="415"/>
    </row>
    <row r="75" spans="1:18" x14ac:dyDescent="0.3">
      <c r="A75" s="405"/>
      <c r="B75" s="422"/>
      <c r="C75" s="524"/>
      <c r="D75" s="611"/>
      <c r="E75" s="612"/>
      <c r="F75" s="613"/>
      <c r="G75" s="82"/>
      <c r="H75" s="408" t="s">
        <v>220</v>
      </c>
      <c r="I75" s="408"/>
      <c r="J75" s="408"/>
      <c r="K75" s="409"/>
      <c r="L75" s="51">
        <v>2</v>
      </c>
      <c r="M75" s="398"/>
      <c r="N75" s="405"/>
      <c r="O75" s="398"/>
      <c r="P75" s="405"/>
      <c r="Q75" s="414"/>
      <c r="R75" s="415"/>
    </row>
    <row r="76" spans="1:18" x14ac:dyDescent="0.3">
      <c r="A76" s="405"/>
      <c r="B76" s="422"/>
      <c r="C76" s="524"/>
      <c r="D76" s="611"/>
      <c r="E76" s="612"/>
      <c r="F76" s="613"/>
      <c r="G76" s="82"/>
      <c r="H76" s="408" t="s">
        <v>203</v>
      </c>
      <c r="I76" s="408"/>
      <c r="J76" s="408"/>
      <c r="K76" s="409"/>
      <c r="L76" s="51">
        <v>3</v>
      </c>
      <c r="M76" s="398"/>
      <c r="N76" s="405"/>
      <c r="O76" s="398"/>
      <c r="P76" s="405"/>
      <c r="Q76" s="414"/>
      <c r="R76" s="415"/>
    </row>
    <row r="77" spans="1:18" x14ac:dyDescent="0.3">
      <c r="A77" s="405"/>
      <c r="B77" s="422"/>
      <c r="C77" s="524"/>
      <c r="D77" s="611"/>
      <c r="E77" s="612"/>
      <c r="F77" s="613"/>
      <c r="G77" s="82"/>
      <c r="H77" s="408" t="s">
        <v>222</v>
      </c>
      <c r="I77" s="408"/>
      <c r="J77" s="408"/>
      <c r="K77" s="409"/>
      <c r="L77" s="51">
        <v>3</v>
      </c>
      <c r="M77" s="398"/>
      <c r="N77" s="119" t="s">
        <v>397</v>
      </c>
      <c r="O77" s="398"/>
      <c r="P77" s="405"/>
      <c r="Q77" s="414"/>
      <c r="R77" s="415"/>
    </row>
    <row r="78" spans="1:18" x14ac:dyDescent="0.3">
      <c r="A78" s="405"/>
      <c r="B78" s="422"/>
      <c r="C78" s="524"/>
      <c r="D78" s="144"/>
      <c r="E78" s="408" t="s">
        <v>423</v>
      </c>
      <c r="F78" s="409"/>
      <c r="G78" s="82"/>
      <c r="H78" s="408" t="s">
        <v>223</v>
      </c>
      <c r="I78" s="408"/>
      <c r="J78" s="408"/>
      <c r="K78" s="409"/>
      <c r="L78" s="51">
        <v>2</v>
      </c>
      <c r="M78" s="398"/>
      <c r="N78" s="119" t="s">
        <v>206</v>
      </c>
      <c r="O78" s="69"/>
      <c r="P78" s="128" t="s">
        <v>537</v>
      </c>
      <c r="Q78" s="69"/>
      <c r="R78" s="119" t="s">
        <v>327</v>
      </c>
    </row>
    <row r="79" spans="1:18" x14ac:dyDescent="0.3">
      <c r="A79" s="405"/>
      <c r="B79" s="422"/>
      <c r="C79" s="524"/>
      <c r="D79" s="611"/>
      <c r="E79" s="612"/>
      <c r="F79" s="613"/>
      <c r="G79" s="132"/>
      <c r="H79" s="408" t="s">
        <v>466</v>
      </c>
      <c r="I79" s="408"/>
      <c r="J79" s="408"/>
      <c r="K79" s="409"/>
      <c r="L79" s="51">
        <v>3</v>
      </c>
      <c r="M79" s="398"/>
      <c r="N79" s="128" t="s">
        <v>536</v>
      </c>
      <c r="O79" s="398"/>
      <c r="P79" s="405"/>
      <c r="Q79" s="398"/>
      <c r="R79" s="405"/>
    </row>
    <row r="80" spans="1:18" x14ac:dyDescent="0.3">
      <c r="A80" s="405"/>
      <c r="B80" s="422"/>
      <c r="C80" s="524"/>
      <c r="D80" s="611"/>
      <c r="E80" s="612"/>
      <c r="F80" s="613"/>
      <c r="G80" s="82"/>
      <c r="H80" s="408" t="s">
        <v>468</v>
      </c>
      <c r="I80" s="408"/>
      <c r="J80" s="408"/>
      <c r="K80" s="409"/>
      <c r="L80" s="51">
        <v>2</v>
      </c>
      <c r="M80" s="398"/>
      <c r="N80" s="405"/>
      <c r="O80" s="398"/>
      <c r="P80" s="405"/>
      <c r="Q80" s="398"/>
      <c r="R80" s="405"/>
    </row>
    <row r="81" spans="1:18" x14ac:dyDescent="0.3">
      <c r="A81" s="405"/>
      <c r="B81" s="422"/>
      <c r="C81" s="524"/>
      <c r="D81" s="611"/>
      <c r="E81" s="612"/>
      <c r="F81" s="613"/>
      <c r="G81" s="82"/>
      <c r="H81" s="408" t="s">
        <v>345</v>
      </c>
      <c r="I81" s="408"/>
      <c r="J81" s="408"/>
      <c r="K81" s="409"/>
      <c r="L81" s="51">
        <v>3</v>
      </c>
      <c r="M81" s="398"/>
      <c r="N81" s="405"/>
      <c r="O81" s="398"/>
      <c r="P81" s="405"/>
      <c r="Q81" s="398"/>
      <c r="R81" s="405"/>
    </row>
    <row r="82" spans="1:18" x14ac:dyDescent="0.3">
      <c r="A82" s="405"/>
      <c r="B82" s="422"/>
      <c r="C82" s="524"/>
      <c r="D82" s="611"/>
      <c r="E82" s="612"/>
      <c r="F82" s="613"/>
      <c r="G82" s="82"/>
      <c r="H82" s="408" t="s">
        <v>556</v>
      </c>
      <c r="I82" s="408"/>
      <c r="J82" s="408"/>
      <c r="K82" s="409"/>
      <c r="L82" s="51">
        <v>2</v>
      </c>
      <c r="M82" s="398"/>
      <c r="N82" s="405"/>
      <c r="O82" s="398"/>
      <c r="P82" s="405"/>
      <c r="Q82" s="398"/>
      <c r="R82" s="405"/>
    </row>
    <row r="83" spans="1:18" x14ac:dyDescent="0.3">
      <c r="A83" s="405"/>
      <c r="B83" s="423"/>
      <c r="C83" s="525"/>
      <c r="D83" s="614"/>
      <c r="E83" s="615"/>
      <c r="F83" s="616"/>
      <c r="G83" s="81"/>
      <c r="H83" s="406" t="s">
        <v>559</v>
      </c>
      <c r="I83" s="406"/>
      <c r="J83" s="406"/>
      <c r="K83" s="407"/>
      <c r="L83" s="54">
        <v>1</v>
      </c>
      <c r="M83" s="402"/>
      <c r="N83" s="403"/>
      <c r="O83" s="402"/>
      <c r="P83" s="403"/>
      <c r="Q83" s="402"/>
      <c r="R83" s="403"/>
    </row>
    <row r="84" spans="1:18" x14ac:dyDescent="0.3">
      <c r="A84" s="405"/>
      <c r="B84" s="421"/>
      <c r="C84" s="548" t="s">
        <v>409</v>
      </c>
      <c r="D84" s="561"/>
      <c r="E84" s="562"/>
      <c r="F84" s="563"/>
      <c r="G84" s="129"/>
      <c r="H84" s="399" t="s">
        <v>231</v>
      </c>
      <c r="I84" s="399"/>
      <c r="J84" s="399"/>
      <c r="K84" s="400"/>
      <c r="L84" s="49">
        <v>3</v>
      </c>
      <c r="M84" s="401" t="s">
        <v>214</v>
      </c>
      <c r="N84" s="404"/>
      <c r="O84" s="401"/>
      <c r="P84" s="404"/>
      <c r="Q84" s="401"/>
      <c r="R84" s="404"/>
    </row>
    <row r="85" spans="1:18" x14ac:dyDescent="0.3">
      <c r="A85" s="405"/>
      <c r="B85" s="422"/>
      <c r="C85" s="549"/>
      <c r="D85" s="551"/>
      <c r="E85" s="124" t="s">
        <v>13</v>
      </c>
      <c r="F85" s="145">
        <v>-0.44</v>
      </c>
      <c r="G85" s="82"/>
      <c r="H85" s="408" t="s">
        <v>433</v>
      </c>
      <c r="I85" s="408"/>
      <c r="J85" s="408"/>
      <c r="K85" s="409"/>
      <c r="L85" s="51">
        <v>2</v>
      </c>
      <c r="M85" s="398"/>
      <c r="N85" s="405"/>
      <c r="O85" s="398"/>
      <c r="P85" s="108" t="s">
        <v>442</v>
      </c>
      <c r="Q85" s="69"/>
      <c r="R85" s="128" t="s">
        <v>442</v>
      </c>
    </row>
    <row r="86" spans="1:18" x14ac:dyDescent="0.3">
      <c r="A86" s="405"/>
      <c r="B86" s="422"/>
      <c r="C86" s="549"/>
      <c r="D86" s="551"/>
      <c r="E86" s="124" t="s">
        <v>406</v>
      </c>
      <c r="F86" s="136">
        <v>0.1</v>
      </c>
      <c r="G86" s="82"/>
      <c r="H86" s="472" t="s">
        <v>448</v>
      </c>
      <c r="I86" s="472"/>
      <c r="J86" s="472"/>
      <c r="K86" s="473"/>
      <c r="L86" s="51">
        <v>3</v>
      </c>
      <c r="M86" s="398"/>
      <c r="N86" s="405"/>
      <c r="O86" s="398"/>
      <c r="P86" s="119" t="s">
        <v>541</v>
      </c>
      <c r="Q86" s="69"/>
      <c r="R86" s="128" t="s">
        <v>518</v>
      </c>
    </row>
    <row r="87" spans="1:18" x14ac:dyDescent="0.3">
      <c r="A87" s="405"/>
      <c r="B87" s="422"/>
      <c r="C87" s="549"/>
      <c r="D87" s="551"/>
      <c r="E87" s="124" t="s">
        <v>407</v>
      </c>
      <c r="F87" s="136">
        <v>-0.1</v>
      </c>
      <c r="G87" s="132"/>
      <c r="H87" s="124" t="s">
        <v>165</v>
      </c>
      <c r="I87" s="113" t="s">
        <v>316</v>
      </c>
      <c r="J87" s="112"/>
      <c r="K87" s="119" t="s">
        <v>442</v>
      </c>
      <c r="L87" s="51">
        <v>2</v>
      </c>
      <c r="M87" s="398"/>
      <c r="N87" s="405"/>
      <c r="O87" s="398"/>
      <c r="P87" s="128" t="s">
        <v>518</v>
      </c>
      <c r="Q87" s="69"/>
      <c r="R87" s="128" t="s">
        <v>519</v>
      </c>
    </row>
    <row r="88" spans="1:18" x14ac:dyDescent="0.3">
      <c r="A88" s="405"/>
      <c r="B88" s="422"/>
      <c r="C88" s="549"/>
      <c r="D88" s="398"/>
      <c r="E88" s="372"/>
      <c r="F88" s="405"/>
      <c r="G88" s="132"/>
      <c r="H88" s="124" t="s">
        <v>357</v>
      </c>
      <c r="I88" s="113" t="s">
        <v>316</v>
      </c>
      <c r="J88" s="112"/>
      <c r="K88" s="119" t="s">
        <v>165</v>
      </c>
      <c r="L88" s="51">
        <v>2</v>
      </c>
      <c r="M88" s="398"/>
      <c r="N88" s="405"/>
      <c r="O88" s="398"/>
      <c r="P88" s="405"/>
      <c r="Q88" s="69"/>
      <c r="R88" s="128" t="s">
        <v>520</v>
      </c>
    </row>
    <row r="89" spans="1:18" x14ac:dyDescent="0.3">
      <c r="A89" s="405"/>
      <c r="B89" s="423"/>
      <c r="C89" s="550"/>
      <c r="D89" s="402"/>
      <c r="E89" s="322"/>
      <c r="F89" s="403"/>
      <c r="G89" s="62"/>
      <c r="H89" s="130" t="s">
        <v>442</v>
      </c>
      <c r="I89" s="140" t="s">
        <v>316</v>
      </c>
      <c r="J89" s="107"/>
      <c r="K89" s="121" t="s">
        <v>165</v>
      </c>
      <c r="L89" s="54">
        <v>2</v>
      </c>
      <c r="M89" s="402"/>
      <c r="N89" s="403"/>
      <c r="O89" s="402"/>
      <c r="P89" s="403"/>
      <c r="Q89" s="402"/>
      <c r="R89" s="403"/>
    </row>
    <row r="90" spans="1:18" x14ac:dyDescent="0.3">
      <c r="A90" s="405"/>
      <c r="B90" s="401"/>
      <c r="C90" s="571" t="s">
        <v>442</v>
      </c>
      <c r="D90" s="552"/>
      <c r="E90" s="553"/>
      <c r="F90" s="554"/>
      <c r="G90" s="80"/>
      <c r="H90" s="399" t="s">
        <v>297</v>
      </c>
      <c r="I90" s="399"/>
      <c r="J90" s="399"/>
      <c r="K90" s="400"/>
      <c r="L90" s="49">
        <v>3</v>
      </c>
      <c r="M90" s="401" t="s">
        <v>214</v>
      </c>
      <c r="N90" s="404"/>
      <c r="O90" s="401"/>
      <c r="P90" s="404"/>
      <c r="Q90" s="412"/>
      <c r="R90" s="413"/>
    </row>
    <row r="91" spans="1:18" x14ac:dyDescent="0.3">
      <c r="A91" s="405"/>
      <c r="B91" s="398"/>
      <c r="C91" s="572"/>
      <c r="D91" s="555"/>
      <c r="E91" s="556"/>
      <c r="F91" s="557"/>
      <c r="G91" s="82"/>
      <c r="H91" s="408" t="s">
        <v>269</v>
      </c>
      <c r="I91" s="408"/>
      <c r="J91" s="408"/>
      <c r="K91" s="409"/>
      <c r="L91" s="51">
        <v>3</v>
      </c>
      <c r="M91" s="398"/>
      <c r="N91" s="405"/>
      <c r="O91" s="398"/>
      <c r="P91" s="405"/>
      <c r="Q91" s="69"/>
      <c r="R91" s="119" t="s">
        <v>363</v>
      </c>
    </row>
    <row r="92" spans="1:18" x14ac:dyDescent="0.3">
      <c r="A92" s="405"/>
      <c r="B92" s="398"/>
      <c r="C92" s="572"/>
      <c r="D92" s="555"/>
      <c r="E92" s="556"/>
      <c r="F92" s="557"/>
      <c r="G92" s="82"/>
      <c r="H92" s="408" t="s">
        <v>273</v>
      </c>
      <c r="I92" s="408"/>
      <c r="J92" s="408"/>
      <c r="K92" s="409"/>
      <c r="L92" s="51">
        <v>3</v>
      </c>
      <c r="M92" s="398"/>
      <c r="N92" s="405"/>
      <c r="O92" s="398"/>
      <c r="P92" s="119" t="s">
        <v>363</v>
      </c>
      <c r="Q92" s="69"/>
      <c r="R92" s="128" t="s">
        <v>409</v>
      </c>
    </row>
    <row r="93" spans="1:18" x14ac:dyDescent="0.3">
      <c r="A93" s="405"/>
      <c r="B93" s="398"/>
      <c r="C93" s="572"/>
      <c r="D93" s="398"/>
      <c r="E93" s="124" t="s">
        <v>407</v>
      </c>
      <c r="F93" s="136">
        <v>0.1</v>
      </c>
      <c r="G93" s="132"/>
      <c r="H93" s="408" t="s">
        <v>462</v>
      </c>
      <c r="I93" s="408"/>
      <c r="J93" s="408"/>
      <c r="K93" s="409"/>
      <c r="L93" s="51">
        <v>2</v>
      </c>
      <c r="M93" s="398"/>
      <c r="N93" s="405"/>
      <c r="O93" s="398"/>
      <c r="P93" s="128" t="s">
        <v>409</v>
      </c>
      <c r="Q93" s="69"/>
      <c r="R93" s="128" t="s">
        <v>525</v>
      </c>
    </row>
    <row r="94" spans="1:18" x14ac:dyDescent="0.3">
      <c r="A94" s="405"/>
      <c r="B94" s="398"/>
      <c r="C94" s="572"/>
      <c r="D94" s="398"/>
      <c r="E94" s="124" t="s">
        <v>406</v>
      </c>
      <c r="F94" s="136">
        <v>-0.1</v>
      </c>
      <c r="G94" s="82"/>
      <c r="H94" s="408" t="s">
        <v>277</v>
      </c>
      <c r="I94" s="408"/>
      <c r="J94" s="408"/>
      <c r="K94" s="409"/>
      <c r="L94" s="51">
        <v>3</v>
      </c>
      <c r="M94" s="398"/>
      <c r="N94" s="405"/>
      <c r="O94" s="398"/>
      <c r="P94" s="128" t="s">
        <v>521</v>
      </c>
      <c r="Q94" s="69"/>
      <c r="R94" s="128" t="s">
        <v>521</v>
      </c>
    </row>
    <row r="95" spans="1:18" x14ac:dyDescent="0.3">
      <c r="A95" s="405"/>
      <c r="B95" s="398"/>
      <c r="C95" s="572"/>
      <c r="D95" s="555"/>
      <c r="E95" s="556"/>
      <c r="F95" s="557"/>
      <c r="G95" s="82"/>
      <c r="H95" s="124" t="s">
        <v>363</v>
      </c>
      <c r="I95" s="113" t="s">
        <v>316</v>
      </c>
      <c r="J95" s="124"/>
      <c r="K95" s="119" t="s">
        <v>357</v>
      </c>
      <c r="L95" s="51">
        <v>2</v>
      </c>
      <c r="M95" s="398"/>
      <c r="N95" s="405"/>
      <c r="O95" s="398"/>
      <c r="P95" s="405"/>
      <c r="Q95" s="69"/>
      <c r="R95" s="128" t="s">
        <v>526</v>
      </c>
    </row>
    <row r="96" spans="1:18" x14ac:dyDescent="0.3">
      <c r="A96" s="405"/>
      <c r="B96" s="398"/>
      <c r="C96" s="572"/>
      <c r="D96" s="555"/>
      <c r="E96" s="556"/>
      <c r="F96" s="557"/>
      <c r="G96" s="82"/>
      <c r="H96" s="124" t="s">
        <v>409</v>
      </c>
      <c r="I96" s="113" t="s">
        <v>316</v>
      </c>
      <c r="J96" s="124"/>
      <c r="K96" s="119" t="s">
        <v>357</v>
      </c>
      <c r="L96" s="51">
        <v>2</v>
      </c>
      <c r="M96" s="398"/>
      <c r="N96" s="405"/>
      <c r="O96" s="398"/>
      <c r="P96" s="405"/>
      <c r="Q96" s="398"/>
      <c r="R96" s="405"/>
    </row>
    <row r="97" spans="1:18" x14ac:dyDescent="0.3">
      <c r="A97" s="405"/>
      <c r="B97" s="402"/>
      <c r="C97" s="573"/>
      <c r="D97" s="574"/>
      <c r="E97" s="575"/>
      <c r="F97" s="576"/>
      <c r="G97" s="81"/>
      <c r="H97" s="130" t="s">
        <v>357</v>
      </c>
      <c r="I97" s="140" t="s">
        <v>316</v>
      </c>
      <c r="J97" s="130"/>
      <c r="K97" s="121" t="s">
        <v>409</v>
      </c>
      <c r="L97" s="54">
        <v>2</v>
      </c>
      <c r="M97" s="402"/>
      <c r="N97" s="403"/>
      <c r="O97" s="402"/>
      <c r="P97" s="403"/>
      <c r="Q97" s="402"/>
      <c r="R97" s="403"/>
    </row>
    <row r="98" spans="1:18" x14ac:dyDescent="0.3">
      <c r="A98" s="112"/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</row>
    <row r="99" spans="1:18" x14ac:dyDescent="0.3">
      <c r="A99" s="405"/>
      <c r="B99" s="421"/>
      <c r="C99" s="424" t="s">
        <v>359</v>
      </c>
      <c r="D99" s="427"/>
      <c r="E99" s="133" t="s">
        <v>3</v>
      </c>
      <c r="F99" s="146">
        <v>-3</v>
      </c>
      <c r="G99" s="80"/>
      <c r="H99" s="399" t="s">
        <v>234</v>
      </c>
      <c r="I99" s="399"/>
      <c r="J99" s="399"/>
      <c r="K99" s="400"/>
      <c r="L99" s="49">
        <v>2</v>
      </c>
      <c r="M99" s="401" t="s">
        <v>214</v>
      </c>
      <c r="N99" s="404"/>
      <c r="O99" s="401"/>
      <c r="P99" s="404"/>
      <c r="Q99" s="129"/>
      <c r="R99" s="120" t="s">
        <v>229</v>
      </c>
    </row>
    <row r="100" spans="1:18" x14ac:dyDescent="0.3">
      <c r="A100" s="405"/>
      <c r="B100" s="422"/>
      <c r="C100" s="425"/>
      <c r="D100" s="428"/>
      <c r="E100" s="124" t="s">
        <v>410</v>
      </c>
      <c r="F100" s="143">
        <v>-2</v>
      </c>
      <c r="G100" s="82"/>
      <c r="H100" s="408" t="s">
        <v>331</v>
      </c>
      <c r="I100" s="408"/>
      <c r="J100" s="408"/>
      <c r="K100" s="409"/>
      <c r="L100" s="51">
        <v>4</v>
      </c>
      <c r="M100" s="398"/>
      <c r="N100" s="405"/>
      <c r="O100" s="132"/>
      <c r="P100" s="128" t="s">
        <v>422</v>
      </c>
      <c r="Q100" s="132"/>
      <c r="R100" s="119" t="s">
        <v>320</v>
      </c>
    </row>
    <row r="101" spans="1:18" x14ac:dyDescent="0.3">
      <c r="A101" s="405"/>
      <c r="B101" s="423"/>
      <c r="C101" s="426"/>
      <c r="D101" s="497"/>
      <c r="E101" s="505"/>
      <c r="F101" s="506"/>
      <c r="G101" s="36"/>
      <c r="H101" s="406" t="s">
        <v>465</v>
      </c>
      <c r="I101" s="406"/>
      <c r="J101" s="406"/>
      <c r="K101" s="407"/>
      <c r="L101" s="54">
        <v>2</v>
      </c>
      <c r="M101" s="402"/>
      <c r="N101" s="403"/>
      <c r="O101" s="402"/>
      <c r="P101" s="403"/>
      <c r="Q101" s="402"/>
      <c r="R101" s="403"/>
    </row>
    <row r="102" spans="1:18" x14ac:dyDescent="0.3">
      <c r="A102" s="405"/>
      <c r="B102" s="421"/>
      <c r="C102" s="443" t="s">
        <v>480</v>
      </c>
      <c r="D102" s="421"/>
      <c r="E102" s="479" t="s">
        <v>476</v>
      </c>
      <c r="F102" s="480"/>
      <c r="G102" s="401" t="s">
        <v>214</v>
      </c>
      <c r="H102" s="375"/>
      <c r="I102" s="375"/>
      <c r="J102" s="375"/>
      <c r="K102" s="404"/>
      <c r="L102" s="410" t="s">
        <v>316</v>
      </c>
      <c r="M102" s="401" t="s">
        <v>214</v>
      </c>
      <c r="N102" s="404"/>
      <c r="O102" s="421"/>
      <c r="P102" s="126" t="s">
        <v>479</v>
      </c>
      <c r="Q102" s="421"/>
      <c r="R102" s="400" t="s">
        <v>477</v>
      </c>
    </row>
    <row r="103" spans="1:18" x14ac:dyDescent="0.3">
      <c r="A103" s="405"/>
      <c r="B103" s="423"/>
      <c r="C103" s="445"/>
      <c r="D103" s="423"/>
      <c r="E103" s="515"/>
      <c r="F103" s="516"/>
      <c r="G103" s="402"/>
      <c r="H103" s="322"/>
      <c r="I103" s="322"/>
      <c r="J103" s="322"/>
      <c r="K103" s="403"/>
      <c r="L103" s="411"/>
      <c r="M103" s="402"/>
      <c r="N103" s="403"/>
      <c r="O103" s="423"/>
      <c r="P103" s="121" t="s">
        <v>478</v>
      </c>
      <c r="Q103" s="423"/>
      <c r="R103" s="407"/>
    </row>
    <row r="104" spans="1:18" x14ac:dyDescent="0.3">
      <c r="A104" s="405"/>
      <c r="B104" s="543"/>
      <c r="C104" s="508" t="s">
        <v>362</v>
      </c>
      <c r="D104" s="547"/>
      <c r="E104" s="133" t="s">
        <v>13</v>
      </c>
      <c r="F104" s="147">
        <v>-0.64</v>
      </c>
      <c r="G104" s="80"/>
      <c r="H104" s="399" t="s">
        <v>235</v>
      </c>
      <c r="I104" s="399"/>
      <c r="J104" s="399"/>
      <c r="K104" s="400"/>
      <c r="L104" s="49">
        <v>3</v>
      </c>
      <c r="M104" s="401" t="s">
        <v>214</v>
      </c>
      <c r="N104" s="404"/>
      <c r="O104" s="401"/>
      <c r="P104" s="404"/>
      <c r="Q104" s="421"/>
      <c r="R104" s="400"/>
    </row>
    <row r="105" spans="1:18" x14ac:dyDescent="0.3">
      <c r="A105" s="405"/>
      <c r="B105" s="544"/>
      <c r="C105" s="546"/>
      <c r="D105" s="422"/>
      <c r="E105" s="124" t="s">
        <v>76</v>
      </c>
      <c r="F105" s="143">
        <v>-4</v>
      </c>
      <c r="G105" s="36"/>
      <c r="H105" s="408" t="s">
        <v>240</v>
      </c>
      <c r="I105" s="408"/>
      <c r="J105" s="408"/>
      <c r="K105" s="409"/>
      <c r="L105" s="51">
        <v>3</v>
      </c>
      <c r="M105" s="398"/>
      <c r="N105" s="405"/>
      <c r="O105" s="398"/>
      <c r="P105" s="409" t="s">
        <v>421</v>
      </c>
      <c r="Q105" s="422"/>
      <c r="R105" s="409" t="s">
        <v>463</v>
      </c>
    </row>
    <row r="106" spans="1:18" x14ac:dyDescent="0.3">
      <c r="A106" s="405"/>
      <c r="B106" s="544"/>
      <c r="C106" s="546"/>
      <c r="D106" s="422"/>
      <c r="E106" s="124" t="s">
        <v>77</v>
      </c>
      <c r="F106" s="143">
        <v>-4</v>
      </c>
      <c r="G106" s="36"/>
      <c r="H106" s="408" t="s">
        <v>207</v>
      </c>
      <c r="I106" s="408"/>
      <c r="J106" s="408"/>
      <c r="K106" s="409"/>
      <c r="L106" s="51">
        <v>2</v>
      </c>
      <c r="M106" s="398"/>
      <c r="N106" s="405"/>
      <c r="O106" s="398"/>
      <c r="P106" s="409"/>
      <c r="Q106" s="422"/>
      <c r="R106" s="409"/>
    </row>
    <row r="107" spans="1:18" x14ac:dyDescent="0.3">
      <c r="A107" s="405"/>
      <c r="B107" s="545"/>
      <c r="C107" s="509"/>
      <c r="D107" s="423"/>
      <c r="E107" s="130" t="s">
        <v>78</v>
      </c>
      <c r="F107" s="148">
        <v>-2</v>
      </c>
      <c r="G107" s="313"/>
      <c r="H107" s="502" t="s">
        <v>608</v>
      </c>
      <c r="I107" s="502"/>
      <c r="J107" s="502"/>
      <c r="K107" s="503"/>
      <c r="L107" s="54">
        <v>2</v>
      </c>
      <c r="M107" s="402"/>
      <c r="N107" s="403"/>
      <c r="O107" s="402"/>
      <c r="P107" s="403"/>
      <c r="Q107" s="423"/>
      <c r="R107" s="407"/>
    </row>
    <row r="108" spans="1:18" x14ac:dyDescent="0.3">
      <c r="A108" s="405"/>
      <c r="B108" s="401"/>
      <c r="C108" s="494" t="s">
        <v>361</v>
      </c>
      <c r="D108" s="427"/>
      <c r="E108" s="133" t="s">
        <v>3</v>
      </c>
      <c r="F108" s="146">
        <v>-3</v>
      </c>
      <c r="G108" s="401" t="s">
        <v>214</v>
      </c>
      <c r="H108" s="375"/>
      <c r="I108" s="375"/>
      <c r="J108" s="375"/>
      <c r="K108" s="404"/>
      <c r="L108" s="410" t="s">
        <v>214</v>
      </c>
      <c r="M108" s="401" t="s">
        <v>214</v>
      </c>
      <c r="N108" s="404"/>
      <c r="O108" s="401"/>
      <c r="P108" s="404"/>
      <c r="Q108" s="129"/>
      <c r="R108" s="120" t="s">
        <v>229</v>
      </c>
    </row>
    <row r="109" spans="1:18" x14ac:dyDescent="0.3">
      <c r="A109" s="405"/>
      <c r="B109" s="398"/>
      <c r="C109" s="495"/>
      <c r="D109" s="428"/>
      <c r="E109" s="124" t="s">
        <v>410</v>
      </c>
      <c r="F109" s="143">
        <v>-2</v>
      </c>
      <c r="G109" s="398"/>
      <c r="H109" s="372"/>
      <c r="I109" s="372"/>
      <c r="J109" s="372"/>
      <c r="K109" s="405"/>
      <c r="L109" s="498"/>
      <c r="M109" s="398"/>
      <c r="N109" s="405"/>
      <c r="O109" s="132"/>
      <c r="P109" s="128" t="s">
        <v>422</v>
      </c>
      <c r="Q109" s="132"/>
      <c r="R109" s="119" t="s">
        <v>319</v>
      </c>
    </row>
    <row r="110" spans="1:18" x14ac:dyDescent="0.3">
      <c r="A110" s="405"/>
      <c r="B110" s="402"/>
      <c r="C110" s="496"/>
      <c r="D110" s="497"/>
      <c r="E110" s="499" t="s">
        <v>475</v>
      </c>
      <c r="F110" s="500"/>
      <c r="G110" s="402"/>
      <c r="H110" s="322"/>
      <c r="I110" s="322"/>
      <c r="J110" s="322"/>
      <c r="K110" s="403"/>
      <c r="L110" s="411"/>
      <c r="M110" s="402"/>
      <c r="N110" s="403"/>
      <c r="O110" s="402"/>
      <c r="P110" s="403"/>
      <c r="Q110" s="62"/>
      <c r="R110" s="149"/>
    </row>
    <row r="111" spans="1:18" x14ac:dyDescent="0.3">
      <c r="A111" s="405"/>
      <c r="B111" s="401"/>
      <c r="C111" s="486" t="s">
        <v>360</v>
      </c>
      <c r="D111" s="489"/>
      <c r="E111" s="133" t="s">
        <v>428</v>
      </c>
      <c r="F111" s="146">
        <v>2</v>
      </c>
      <c r="G111" s="401"/>
      <c r="H111" s="375"/>
      <c r="I111" s="375"/>
      <c r="J111" s="375"/>
      <c r="K111" s="404"/>
      <c r="L111" s="49"/>
      <c r="M111" s="401" t="s">
        <v>214</v>
      </c>
      <c r="N111" s="404"/>
      <c r="O111" s="401"/>
      <c r="P111" s="404"/>
      <c r="Q111" s="401" t="s">
        <v>214</v>
      </c>
      <c r="R111" s="404"/>
    </row>
    <row r="112" spans="1:18" x14ac:dyDescent="0.3">
      <c r="A112" s="405"/>
      <c r="B112" s="398"/>
      <c r="C112" s="487"/>
      <c r="D112" s="490"/>
      <c r="E112" s="124" t="s">
        <v>2</v>
      </c>
      <c r="F112" s="143">
        <v>-3</v>
      </c>
      <c r="G112" s="132"/>
      <c r="H112" s="408" t="s">
        <v>474</v>
      </c>
      <c r="I112" s="408"/>
      <c r="J112" s="408"/>
      <c r="K112" s="409"/>
      <c r="L112" s="51">
        <v>2</v>
      </c>
      <c r="M112" s="398"/>
      <c r="N112" s="405"/>
      <c r="O112" s="132"/>
      <c r="P112" s="128" t="s">
        <v>422</v>
      </c>
      <c r="Q112" s="398"/>
      <c r="R112" s="405"/>
    </row>
    <row r="113" spans="1:18" x14ac:dyDescent="0.3">
      <c r="A113" s="405"/>
      <c r="B113" s="402"/>
      <c r="C113" s="488"/>
      <c r="D113" s="491"/>
      <c r="E113" s="130" t="s">
        <v>14</v>
      </c>
      <c r="F113" s="148">
        <v>-5</v>
      </c>
      <c r="G113" s="402"/>
      <c r="H113" s="322"/>
      <c r="I113" s="322"/>
      <c r="J113" s="322"/>
      <c r="K113" s="403"/>
      <c r="L113" s="54"/>
      <c r="M113" s="402"/>
      <c r="N113" s="403"/>
      <c r="O113" s="402"/>
      <c r="P113" s="403"/>
      <c r="Q113" s="402"/>
      <c r="R113" s="403"/>
    </row>
    <row r="114" spans="1:18" x14ac:dyDescent="0.3">
      <c r="A114" s="405"/>
      <c r="B114" s="421"/>
      <c r="C114" s="459" t="s">
        <v>358</v>
      </c>
      <c r="D114" s="501"/>
      <c r="E114" s="399" t="s">
        <v>110</v>
      </c>
      <c r="F114" s="492">
        <v>-0.3</v>
      </c>
      <c r="G114" s="80"/>
      <c r="H114" s="399" t="s">
        <v>260</v>
      </c>
      <c r="I114" s="399"/>
      <c r="J114" s="399"/>
      <c r="K114" s="400"/>
      <c r="L114" s="49">
        <v>3</v>
      </c>
      <c r="M114" s="401"/>
      <c r="N114" s="400" t="s">
        <v>530</v>
      </c>
      <c r="O114" s="401"/>
      <c r="P114" s="400" t="s">
        <v>421</v>
      </c>
      <c r="Q114" s="401" t="s">
        <v>214</v>
      </c>
      <c r="R114" s="404"/>
    </row>
    <row r="115" spans="1:18" x14ac:dyDescent="0.3">
      <c r="A115" s="405"/>
      <c r="B115" s="423"/>
      <c r="C115" s="460"/>
      <c r="D115" s="423"/>
      <c r="E115" s="406"/>
      <c r="F115" s="493"/>
      <c r="G115" s="36"/>
      <c r="H115" s="408" t="s">
        <v>224</v>
      </c>
      <c r="I115" s="408"/>
      <c r="J115" s="408"/>
      <c r="K115" s="409"/>
      <c r="L115" s="54">
        <v>2</v>
      </c>
      <c r="M115" s="402"/>
      <c r="N115" s="407"/>
      <c r="O115" s="402"/>
      <c r="P115" s="407"/>
      <c r="Q115" s="402"/>
      <c r="R115" s="403"/>
    </row>
    <row r="116" spans="1:18" x14ac:dyDescent="0.3">
      <c r="A116" s="405"/>
      <c r="B116" s="401"/>
      <c r="C116" s="440" t="s">
        <v>417</v>
      </c>
      <c r="D116" s="412"/>
      <c r="E116" s="339"/>
      <c r="F116" s="413"/>
      <c r="G116" s="129"/>
      <c r="H116" s="399" t="s">
        <v>257</v>
      </c>
      <c r="I116" s="399"/>
      <c r="J116" s="399"/>
      <c r="K116" s="400"/>
      <c r="L116" s="49">
        <v>3</v>
      </c>
      <c r="M116" s="401" t="s">
        <v>214</v>
      </c>
      <c r="N116" s="404"/>
      <c r="O116" s="401"/>
      <c r="P116" s="404"/>
      <c r="Q116" s="401"/>
      <c r="R116" s="404"/>
    </row>
    <row r="117" spans="1:18" x14ac:dyDescent="0.3">
      <c r="A117" s="405"/>
      <c r="B117" s="398"/>
      <c r="C117" s="441"/>
      <c r="D117" s="414"/>
      <c r="E117" s="124" t="s">
        <v>0</v>
      </c>
      <c r="F117" s="143">
        <v>-2</v>
      </c>
      <c r="G117" s="82"/>
      <c r="H117" s="408" t="s">
        <v>261</v>
      </c>
      <c r="I117" s="408"/>
      <c r="J117" s="408"/>
      <c r="K117" s="409"/>
      <c r="L117" s="51">
        <v>3</v>
      </c>
      <c r="M117" s="398"/>
      <c r="N117" s="405"/>
      <c r="O117" s="398"/>
      <c r="P117" s="409" t="s">
        <v>422</v>
      </c>
      <c r="Q117" s="132"/>
      <c r="R117" s="119" t="s">
        <v>319</v>
      </c>
    </row>
    <row r="118" spans="1:18" x14ac:dyDescent="0.3">
      <c r="A118" s="405"/>
      <c r="B118" s="398"/>
      <c r="C118" s="441"/>
      <c r="D118" s="414"/>
      <c r="E118" s="124" t="s">
        <v>415</v>
      </c>
      <c r="F118" s="136">
        <v>-0.5</v>
      </c>
      <c r="G118" s="82"/>
      <c r="H118" s="408" t="s">
        <v>306</v>
      </c>
      <c r="I118" s="408"/>
      <c r="J118" s="408"/>
      <c r="K118" s="409"/>
      <c r="L118" s="51">
        <v>3</v>
      </c>
      <c r="M118" s="398"/>
      <c r="N118" s="405"/>
      <c r="O118" s="398"/>
      <c r="P118" s="409"/>
      <c r="Q118" s="132"/>
      <c r="R118" s="119" t="s">
        <v>567</v>
      </c>
    </row>
    <row r="119" spans="1:18" x14ac:dyDescent="0.3">
      <c r="A119" s="405"/>
      <c r="B119" s="402"/>
      <c r="C119" s="442"/>
      <c r="D119" s="418"/>
      <c r="E119" s="419"/>
      <c r="F119" s="420"/>
      <c r="G119" s="36"/>
      <c r="H119" s="406" t="s">
        <v>342</v>
      </c>
      <c r="I119" s="406"/>
      <c r="J119" s="406"/>
      <c r="K119" s="407"/>
      <c r="L119" s="54">
        <v>3</v>
      </c>
      <c r="M119" s="402"/>
      <c r="N119" s="403"/>
      <c r="O119" s="402"/>
      <c r="P119" s="403"/>
      <c r="Q119" s="402"/>
      <c r="R119" s="403"/>
    </row>
    <row r="120" spans="1:18" x14ac:dyDescent="0.3">
      <c r="B120" s="150"/>
      <c r="C120" s="151" t="s">
        <v>424</v>
      </c>
      <c r="D120" s="434" t="s">
        <v>425</v>
      </c>
      <c r="E120" s="435"/>
      <c r="F120" s="436"/>
      <c r="G120" s="437" t="s">
        <v>214</v>
      </c>
      <c r="H120" s="438"/>
      <c r="I120" s="438"/>
      <c r="J120" s="438"/>
      <c r="K120" s="439"/>
      <c r="L120" s="53" t="s">
        <v>214</v>
      </c>
      <c r="M120" s="437" t="s">
        <v>214</v>
      </c>
      <c r="N120" s="439"/>
      <c r="O120" s="150"/>
      <c r="P120" s="152" t="s">
        <v>426</v>
      </c>
      <c r="Q120" s="36"/>
      <c r="R120" s="120" t="s">
        <v>263</v>
      </c>
    </row>
    <row r="121" spans="1:18" x14ac:dyDescent="0.3">
      <c r="A121" s="405"/>
      <c r="B121" s="401"/>
      <c r="C121" s="429" t="s">
        <v>400</v>
      </c>
      <c r="D121" s="432"/>
      <c r="E121" s="133" t="s">
        <v>13</v>
      </c>
      <c r="F121" s="147">
        <v>-0.84</v>
      </c>
      <c r="G121" s="80"/>
      <c r="H121" s="399" t="s">
        <v>294</v>
      </c>
      <c r="I121" s="399"/>
      <c r="J121" s="399"/>
      <c r="K121" s="400"/>
      <c r="L121" s="49">
        <v>3</v>
      </c>
      <c r="M121" s="401" t="s">
        <v>214</v>
      </c>
      <c r="N121" s="404"/>
      <c r="O121" s="401"/>
      <c r="P121" s="404"/>
      <c r="Q121" s="129"/>
      <c r="R121" s="120" t="s">
        <v>229</v>
      </c>
    </row>
    <row r="122" spans="1:18" x14ac:dyDescent="0.3">
      <c r="A122" s="405"/>
      <c r="B122" s="398"/>
      <c r="C122" s="430"/>
      <c r="D122" s="433"/>
      <c r="E122" s="124" t="s">
        <v>78</v>
      </c>
      <c r="F122" s="143">
        <v>-4</v>
      </c>
      <c r="G122" s="82"/>
      <c r="H122" s="408" t="s">
        <v>467</v>
      </c>
      <c r="I122" s="408"/>
      <c r="J122" s="408"/>
      <c r="K122" s="409"/>
      <c r="L122" s="51">
        <v>2</v>
      </c>
      <c r="M122" s="398"/>
      <c r="N122" s="405"/>
      <c r="O122" s="132"/>
      <c r="P122" s="128" t="s">
        <v>422</v>
      </c>
      <c r="Q122" s="132"/>
      <c r="R122" s="119" t="s">
        <v>320</v>
      </c>
    </row>
    <row r="123" spans="1:18" x14ac:dyDescent="0.3">
      <c r="A123" s="405"/>
      <c r="B123" s="402"/>
      <c r="C123" s="431"/>
      <c r="D123" s="558"/>
      <c r="E123" s="559"/>
      <c r="F123" s="560"/>
      <c r="G123" s="418"/>
      <c r="H123" s="419"/>
      <c r="I123" s="419"/>
      <c r="J123" s="419"/>
      <c r="K123" s="420"/>
      <c r="L123" s="54"/>
      <c r="M123" s="402"/>
      <c r="N123" s="403"/>
      <c r="O123" s="402"/>
      <c r="P123" s="403"/>
      <c r="Q123" s="62"/>
      <c r="R123" s="121" t="s">
        <v>567</v>
      </c>
    </row>
    <row r="124" spans="1:18" x14ac:dyDescent="0.3">
      <c r="A124" s="66"/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</row>
    <row r="125" spans="1:18" x14ac:dyDescent="0.3">
      <c r="A125" s="405"/>
      <c r="B125" s="401"/>
      <c r="C125" s="577" t="s">
        <v>364</v>
      </c>
      <c r="D125" s="401"/>
      <c r="E125" s="399" t="s">
        <v>110</v>
      </c>
      <c r="F125" s="492">
        <v>0.3</v>
      </c>
      <c r="G125" s="80"/>
      <c r="H125" s="600" t="s">
        <v>201</v>
      </c>
      <c r="I125" s="600"/>
      <c r="J125" s="600"/>
      <c r="K125" s="601"/>
      <c r="L125" s="49">
        <v>3</v>
      </c>
      <c r="M125" s="401" t="s">
        <v>214</v>
      </c>
      <c r="N125" s="404"/>
      <c r="O125" s="401" t="s">
        <v>214</v>
      </c>
      <c r="P125" s="404"/>
      <c r="Q125" s="401" t="s">
        <v>214</v>
      </c>
      <c r="R125" s="404"/>
    </row>
    <row r="126" spans="1:18" x14ac:dyDescent="0.3">
      <c r="A126" s="405"/>
      <c r="B126" s="402"/>
      <c r="C126" s="578"/>
      <c r="D126" s="402"/>
      <c r="E126" s="406"/>
      <c r="F126" s="493"/>
      <c r="G126" s="36"/>
      <c r="H126" s="502" t="s">
        <v>219</v>
      </c>
      <c r="I126" s="502"/>
      <c r="J126" s="502"/>
      <c r="K126" s="503"/>
      <c r="L126" s="54">
        <v>3</v>
      </c>
      <c r="M126" s="402"/>
      <c r="N126" s="403"/>
      <c r="O126" s="402"/>
      <c r="P126" s="403"/>
      <c r="Q126" s="402"/>
      <c r="R126" s="403"/>
    </row>
    <row r="127" spans="1:18" x14ac:dyDescent="0.3">
      <c r="A127" s="405"/>
      <c r="B127" s="401"/>
      <c r="C127" s="579" t="s">
        <v>365</v>
      </c>
      <c r="D127" s="401"/>
      <c r="E127" s="375"/>
      <c r="F127" s="404"/>
      <c r="G127" s="80"/>
      <c r="H127" s="399" t="s">
        <v>236</v>
      </c>
      <c r="I127" s="399"/>
      <c r="J127" s="399"/>
      <c r="K127" s="400"/>
      <c r="L127" s="49">
        <v>3</v>
      </c>
      <c r="M127" s="401" t="s">
        <v>214</v>
      </c>
      <c r="N127" s="404"/>
      <c r="O127" s="401" t="s">
        <v>214</v>
      </c>
      <c r="P127" s="404"/>
      <c r="Q127" s="401"/>
      <c r="R127" s="404"/>
    </row>
    <row r="128" spans="1:18" x14ac:dyDescent="0.3">
      <c r="A128" s="405"/>
      <c r="B128" s="398"/>
      <c r="C128" s="580"/>
      <c r="D128" s="398"/>
      <c r="E128" s="408" t="s">
        <v>413</v>
      </c>
      <c r="F128" s="409"/>
      <c r="G128" s="82"/>
      <c r="H128" s="408" t="s">
        <v>239</v>
      </c>
      <c r="I128" s="408"/>
      <c r="J128" s="408"/>
      <c r="K128" s="409"/>
      <c r="L128" s="51">
        <v>1</v>
      </c>
      <c r="M128" s="398"/>
      <c r="N128" s="405"/>
      <c r="O128" s="398"/>
      <c r="P128" s="405"/>
      <c r="Q128" s="422"/>
      <c r="R128" s="409" t="s">
        <v>274</v>
      </c>
    </row>
    <row r="129" spans="1:18" x14ac:dyDescent="0.3">
      <c r="A129" s="405"/>
      <c r="B129" s="398"/>
      <c r="C129" s="580"/>
      <c r="D129" s="398"/>
      <c r="E129" s="408"/>
      <c r="F129" s="409"/>
      <c r="G129" s="82"/>
      <c r="H129" s="408" t="s">
        <v>241</v>
      </c>
      <c r="I129" s="408"/>
      <c r="J129" s="408"/>
      <c r="K129" s="409"/>
      <c r="L129" s="51">
        <v>2</v>
      </c>
      <c r="M129" s="398"/>
      <c r="N129" s="405"/>
      <c r="O129" s="398"/>
      <c r="P129" s="405"/>
      <c r="Q129" s="422"/>
      <c r="R129" s="409"/>
    </row>
    <row r="130" spans="1:18" x14ac:dyDescent="0.3">
      <c r="A130" s="405"/>
      <c r="B130" s="402"/>
      <c r="C130" s="581"/>
      <c r="D130" s="402"/>
      <c r="E130" s="322"/>
      <c r="F130" s="403"/>
      <c r="G130" s="81"/>
      <c r="H130" s="406" t="s">
        <v>296</v>
      </c>
      <c r="I130" s="406"/>
      <c r="J130" s="406"/>
      <c r="K130" s="407"/>
      <c r="L130" s="54">
        <v>1</v>
      </c>
      <c r="M130" s="402"/>
      <c r="N130" s="403"/>
      <c r="O130" s="402"/>
      <c r="P130" s="403"/>
      <c r="Q130" s="402"/>
      <c r="R130" s="403"/>
    </row>
    <row r="131" spans="1:18" x14ac:dyDescent="0.3">
      <c r="A131" s="405"/>
      <c r="B131" s="421"/>
      <c r="C131" s="597" t="s">
        <v>451</v>
      </c>
      <c r="D131" s="401"/>
      <c r="E131" s="375"/>
      <c r="F131" s="404"/>
      <c r="G131" s="80"/>
      <c r="H131" s="399" t="s">
        <v>452</v>
      </c>
      <c r="I131" s="399"/>
      <c r="J131" s="399"/>
      <c r="K131" s="400"/>
      <c r="L131" s="49">
        <v>4</v>
      </c>
      <c r="M131" s="401" t="s">
        <v>214</v>
      </c>
      <c r="N131" s="404"/>
      <c r="O131" s="401" t="s">
        <v>214</v>
      </c>
      <c r="P131" s="404"/>
      <c r="Q131" s="401"/>
      <c r="R131" s="404"/>
    </row>
    <row r="132" spans="1:18" x14ac:dyDescent="0.3">
      <c r="A132" s="405"/>
      <c r="B132" s="422"/>
      <c r="C132" s="598"/>
      <c r="D132" s="69"/>
      <c r="E132" s="408" t="s">
        <v>451</v>
      </c>
      <c r="F132" s="409"/>
      <c r="G132" s="82"/>
      <c r="H132" s="408" t="s">
        <v>216</v>
      </c>
      <c r="I132" s="408"/>
      <c r="J132" s="408"/>
      <c r="K132" s="409"/>
      <c r="L132" s="51">
        <v>5</v>
      </c>
      <c r="M132" s="398"/>
      <c r="N132" s="405"/>
      <c r="O132" s="398"/>
      <c r="P132" s="405"/>
      <c r="Q132" s="132"/>
      <c r="R132" s="119" t="s">
        <v>453</v>
      </c>
    </row>
    <row r="133" spans="1:18" x14ac:dyDescent="0.3">
      <c r="A133" s="405"/>
      <c r="B133" s="423"/>
      <c r="C133" s="599"/>
      <c r="D133" s="402"/>
      <c r="E133" s="322"/>
      <c r="F133" s="403"/>
      <c r="G133" s="62"/>
      <c r="H133" s="406" t="s">
        <v>605</v>
      </c>
      <c r="I133" s="406"/>
      <c r="J133" s="406"/>
      <c r="K133" s="407"/>
      <c r="L133" s="54">
        <v>5</v>
      </c>
      <c r="M133" s="402"/>
      <c r="N133" s="403"/>
      <c r="O133" s="402"/>
      <c r="P133" s="403"/>
      <c r="Q133" s="402"/>
      <c r="R133" s="403"/>
    </row>
    <row r="134" spans="1:18" x14ac:dyDescent="0.3">
      <c r="A134" s="405"/>
      <c r="B134" s="421"/>
      <c r="C134" s="582" t="s">
        <v>259</v>
      </c>
      <c r="D134" s="401"/>
      <c r="E134" s="399" t="s">
        <v>418</v>
      </c>
      <c r="F134" s="400"/>
      <c r="G134" s="401"/>
      <c r="H134" s="375"/>
      <c r="I134" s="375"/>
      <c r="J134" s="375"/>
      <c r="K134" s="404"/>
      <c r="L134" s="410"/>
      <c r="M134" s="401" t="s">
        <v>214</v>
      </c>
      <c r="N134" s="404"/>
      <c r="O134" s="401" t="s">
        <v>214</v>
      </c>
      <c r="P134" s="404"/>
      <c r="Q134" s="401" t="s">
        <v>214</v>
      </c>
      <c r="R134" s="404"/>
    </row>
    <row r="135" spans="1:18" ht="14.4" customHeight="1" x14ac:dyDescent="0.3">
      <c r="A135" s="405"/>
      <c r="B135" s="422"/>
      <c r="C135" s="583"/>
      <c r="D135" s="398"/>
      <c r="E135" s="591" t="s">
        <v>438</v>
      </c>
      <c r="F135" s="592"/>
      <c r="G135" s="398"/>
      <c r="H135" s="372"/>
      <c r="I135" s="372"/>
      <c r="J135" s="372"/>
      <c r="K135" s="405"/>
      <c r="L135" s="498"/>
      <c r="M135" s="398"/>
      <c r="N135" s="405"/>
      <c r="O135" s="398"/>
      <c r="P135" s="405"/>
      <c r="Q135" s="398"/>
      <c r="R135" s="405"/>
    </row>
    <row r="136" spans="1:18" ht="14.4" customHeight="1" x14ac:dyDescent="0.3">
      <c r="A136" s="405"/>
      <c r="B136" s="422"/>
      <c r="C136" s="583"/>
      <c r="D136" s="398"/>
      <c r="E136" s="591"/>
      <c r="F136" s="592"/>
      <c r="G136" s="132"/>
      <c r="H136" s="408" t="s">
        <v>439</v>
      </c>
      <c r="I136" s="408"/>
      <c r="J136" s="408"/>
      <c r="K136" s="409"/>
      <c r="L136" s="51">
        <v>2</v>
      </c>
      <c r="M136" s="398"/>
      <c r="N136" s="405"/>
      <c r="O136" s="398"/>
      <c r="P136" s="405"/>
      <c r="Q136" s="398"/>
      <c r="R136" s="405"/>
    </row>
    <row r="137" spans="1:18" ht="14.4" customHeight="1" x14ac:dyDescent="0.3">
      <c r="A137" s="405"/>
      <c r="B137" s="422"/>
      <c r="C137" s="583"/>
      <c r="D137" s="398"/>
      <c r="E137" s="591"/>
      <c r="F137" s="592"/>
      <c r="G137" s="398"/>
      <c r="H137" s="372"/>
      <c r="I137" s="372"/>
      <c r="J137" s="372"/>
      <c r="K137" s="405"/>
      <c r="L137" s="498"/>
      <c r="M137" s="398"/>
      <c r="N137" s="405"/>
      <c r="O137" s="398"/>
      <c r="P137" s="405"/>
      <c r="Q137" s="398"/>
      <c r="R137" s="405"/>
    </row>
    <row r="138" spans="1:18" ht="14.4" customHeight="1" x14ac:dyDescent="0.3">
      <c r="A138" s="405"/>
      <c r="B138" s="423"/>
      <c r="C138" s="584"/>
      <c r="D138" s="402"/>
      <c r="E138" s="593"/>
      <c r="F138" s="594"/>
      <c r="G138" s="402"/>
      <c r="H138" s="322"/>
      <c r="I138" s="322"/>
      <c r="J138" s="322"/>
      <c r="K138" s="403"/>
      <c r="L138" s="411"/>
      <c r="M138" s="402"/>
      <c r="N138" s="403"/>
      <c r="O138" s="402"/>
      <c r="P138" s="403"/>
      <c r="Q138" s="398"/>
      <c r="R138" s="405"/>
    </row>
    <row r="139" spans="1:18" x14ac:dyDescent="0.3">
      <c r="B139" s="150"/>
      <c r="C139" s="153" t="s">
        <v>205</v>
      </c>
      <c r="D139" s="154"/>
      <c r="E139" s="108" t="s">
        <v>401</v>
      </c>
      <c r="F139" s="155">
        <v>65</v>
      </c>
      <c r="G139" s="150"/>
      <c r="H139" s="595" t="s">
        <v>205</v>
      </c>
      <c r="I139" s="595"/>
      <c r="J139" s="595"/>
      <c r="K139" s="596"/>
      <c r="L139" s="53">
        <v>3</v>
      </c>
      <c r="M139" s="437" t="s">
        <v>214</v>
      </c>
      <c r="N139" s="439"/>
      <c r="O139" s="437" t="s">
        <v>214</v>
      </c>
      <c r="P139" s="439"/>
      <c r="Q139" s="437" t="s">
        <v>214</v>
      </c>
      <c r="R139" s="439"/>
    </row>
    <row r="140" spans="1:18" x14ac:dyDescent="0.3">
      <c r="A140" s="405"/>
      <c r="B140" s="401"/>
      <c r="C140" s="585" t="s">
        <v>463</v>
      </c>
      <c r="D140" s="401"/>
      <c r="E140" s="133" t="s">
        <v>13</v>
      </c>
      <c r="F140" s="147">
        <v>0.64</v>
      </c>
      <c r="G140" s="401"/>
      <c r="H140" s="375"/>
      <c r="I140" s="375"/>
      <c r="J140" s="375"/>
      <c r="K140" s="404"/>
      <c r="L140" s="49"/>
      <c r="M140" s="401" t="s">
        <v>214</v>
      </c>
      <c r="N140" s="404"/>
      <c r="O140" s="401" t="s">
        <v>214</v>
      </c>
      <c r="P140" s="404"/>
      <c r="Q140" s="401"/>
      <c r="R140" s="404"/>
    </row>
    <row r="141" spans="1:18" x14ac:dyDescent="0.3">
      <c r="A141" s="405"/>
      <c r="B141" s="398"/>
      <c r="C141" s="586"/>
      <c r="D141" s="398"/>
      <c r="E141" s="124" t="s">
        <v>76</v>
      </c>
      <c r="F141" s="143">
        <v>4</v>
      </c>
      <c r="G141" s="132"/>
      <c r="H141" s="408" t="s">
        <v>277</v>
      </c>
      <c r="I141" s="408"/>
      <c r="J141" s="408"/>
      <c r="K141" s="409"/>
      <c r="L141" s="51">
        <v>3</v>
      </c>
      <c r="M141" s="398"/>
      <c r="N141" s="405"/>
      <c r="O141" s="398"/>
      <c r="P141" s="405"/>
      <c r="Q141" s="398"/>
      <c r="R141" s="409" t="s">
        <v>362</v>
      </c>
    </row>
    <row r="142" spans="1:18" x14ac:dyDescent="0.3">
      <c r="A142" s="405"/>
      <c r="B142" s="398"/>
      <c r="C142" s="586"/>
      <c r="D142" s="398"/>
      <c r="E142" s="124" t="s">
        <v>77</v>
      </c>
      <c r="F142" s="143">
        <v>4</v>
      </c>
      <c r="G142" s="36"/>
      <c r="H142" s="408" t="s">
        <v>470</v>
      </c>
      <c r="I142" s="408"/>
      <c r="J142" s="408"/>
      <c r="K142" s="409"/>
      <c r="L142" s="51">
        <v>2</v>
      </c>
      <c r="M142" s="398"/>
      <c r="N142" s="405"/>
      <c r="O142" s="398"/>
      <c r="P142" s="405"/>
      <c r="Q142" s="398"/>
      <c r="R142" s="409"/>
    </row>
    <row r="143" spans="1:18" x14ac:dyDescent="0.3">
      <c r="A143" s="405"/>
      <c r="B143" s="402"/>
      <c r="C143" s="587"/>
      <c r="D143" s="402"/>
      <c r="E143" s="130" t="s">
        <v>78</v>
      </c>
      <c r="F143" s="148">
        <v>3</v>
      </c>
      <c r="G143" s="402"/>
      <c r="H143" s="322"/>
      <c r="I143" s="322"/>
      <c r="J143" s="322"/>
      <c r="K143" s="403"/>
      <c r="L143" s="54"/>
      <c r="M143" s="402"/>
      <c r="N143" s="403"/>
      <c r="O143" s="402"/>
      <c r="P143" s="403"/>
      <c r="Q143" s="402"/>
      <c r="R143" s="403"/>
    </row>
    <row r="144" spans="1:18" x14ac:dyDescent="0.3">
      <c r="B144" s="150"/>
      <c r="C144" s="156" t="s">
        <v>366</v>
      </c>
      <c r="D144" s="154"/>
      <c r="E144" s="595" t="s">
        <v>437</v>
      </c>
      <c r="F144" s="596"/>
      <c r="G144" s="83"/>
      <c r="H144" s="595" t="s">
        <v>325</v>
      </c>
      <c r="I144" s="595"/>
      <c r="J144" s="595"/>
      <c r="K144" s="596"/>
      <c r="L144" s="53">
        <v>3</v>
      </c>
      <c r="M144" s="437" t="s">
        <v>214</v>
      </c>
      <c r="N144" s="439"/>
      <c r="O144" s="437" t="s">
        <v>214</v>
      </c>
      <c r="P144" s="439"/>
      <c r="Q144" s="437" t="s">
        <v>214</v>
      </c>
      <c r="R144" s="439"/>
    </row>
    <row r="145" spans="1:18" x14ac:dyDescent="0.3">
      <c r="A145" s="405"/>
      <c r="B145" s="401"/>
      <c r="C145" s="588" t="s">
        <v>304</v>
      </c>
      <c r="D145" s="412"/>
      <c r="E145" s="133" t="s">
        <v>415</v>
      </c>
      <c r="F145" s="134">
        <v>0.5</v>
      </c>
      <c r="G145" s="401"/>
      <c r="H145" s="375"/>
      <c r="I145" s="375"/>
      <c r="J145" s="375"/>
      <c r="K145" s="404"/>
      <c r="L145" s="49"/>
      <c r="M145" s="401" t="s">
        <v>214</v>
      </c>
      <c r="N145" s="404"/>
      <c r="O145" s="401" t="s">
        <v>214</v>
      </c>
      <c r="P145" s="404"/>
      <c r="Q145" s="401" t="s">
        <v>214</v>
      </c>
      <c r="R145" s="404"/>
    </row>
    <row r="146" spans="1:18" x14ac:dyDescent="0.3">
      <c r="A146" s="405"/>
      <c r="B146" s="398"/>
      <c r="C146" s="589"/>
      <c r="D146" s="414"/>
      <c r="E146" s="124" t="s">
        <v>18</v>
      </c>
      <c r="F146" s="136">
        <v>0.04</v>
      </c>
      <c r="G146" s="132"/>
      <c r="H146" s="408" t="s">
        <v>304</v>
      </c>
      <c r="I146" s="408"/>
      <c r="J146" s="408"/>
      <c r="K146" s="409"/>
      <c r="L146" s="51">
        <v>3</v>
      </c>
      <c r="M146" s="398"/>
      <c r="N146" s="405"/>
      <c r="O146" s="398"/>
      <c r="P146" s="405"/>
      <c r="Q146" s="398"/>
      <c r="R146" s="405"/>
    </row>
    <row r="147" spans="1:18" x14ac:dyDescent="0.3">
      <c r="A147" s="405"/>
      <c r="B147" s="402"/>
      <c r="C147" s="590"/>
      <c r="D147" s="418"/>
      <c r="E147" s="130" t="s">
        <v>110</v>
      </c>
      <c r="F147" s="157">
        <v>-0.25</v>
      </c>
      <c r="G147" s="402"/>
      <c r="H147" s="322"/>
      <c r="I147" s="322"/>
      <c r="J147" s="322"/>
      <c r="K147" s="403"/>
      <c r="L147" s="54"/>
      <c r="M147" s="402"/>
      <c r="N147" s="403"/>
      <c r="O147" s="402"/>
      <c r="P147" s="403"/>
      <c r="Q147" s="402"/>
      <c r="R147" s="403"/>
    </row>
  </sheetData>
  <sheetProtection sheet="1" objects="1" scenarios="1"/>
  <mergeCells count="480">
    <mergeCell ref="E7:F8"/>
    <mergeCell ref="D7:D8"/>
    <mergeCell ref="D9:F11"/>
    <mergeCell ref="O9:P11"/>
    <mergeCell ref="Q29:R29"/>
    <mergeCell ref="P27:P28"/>
    <mergeCell ref="R27:R28"/>
    <mergeCell ref="O27:O28"/>
    <mergeCell ref="Q27:Q28"/>
    <mergeCell ref="M26:N26"/>
    <mergeCell ref="H29:K29"/>
    <mergeCell ref="H10:K10"/>
    <mergeCell ref="R7:R8"/>
    <mergeCell ref="Q7:Q8"/>
    <mergeCell ref="N7:N8"/>
    <mergeCell ref="M7:M8"/>
    <mergeCell ref="M9:N11"/>
    <mergeCell ref="Q9:R11"/>
    <mergeCell ref="O54:P59"/>
    <mergeCell ref="H51:K51"/>
    <mergeCell ref="H52:K52"/>
    <mergeCell ref="M36:M38"/>
    <mergeCell ref="D29:F29"/>
    <mergeCell ref="C26:C29"/>
    <mergeCell ref="B26:B29"/>
    <mergeCell ref="N27:N28"/>
    <mergeCell ref="M27:M28"/>
    <mergeCell ref="M29:N29"/>
    <mergeCell ref="O29:P29"/>
    <mergeCell ref="H35:K35"/>
    <mergeCell ref="H34:K34"/>
    <mergeCell ref="H40:K40"/>
    <mergeCell ref="G38:K38"/>
    <mergeCell ref="O38:P38"/>
    <mergeCell ref="M30:N35"/>
    <mergeCell ref="H37:K37"/>
    <mergeCell ref="Q35:R35"/>
    <mergeCell ref="O36:P36"/>
    <mergeCell ref="Q36:R38"/>
    <mergeCell ref="G40:G42"/>
    <mergeCell ref="B124:R124"/>
    <mergeCell ref="O63:O66"/>
    <mergeCell ref="O44:P49"/>
    <mergeCell ref="O50:O53"/>
    <mergeCell ref="Q44:R49"/>
    <mergeCell ref="Q55:R59"/>
    <mergeCell ref="Q50:Q54"/>
    <mergeCell ref="R18:R19"/>
    <mergeCell ref="Q18:Q19"/>
    <mergeCell ref="Q20:R23"/>
    <mergeCell ref="M21:N23"/>
    <mergeCell ref="M18:M20"/>
    <mergeCell ref="O95:P97"/>
    <mergeCell ref="Q89:R89"/>
    <mergeCell ref="H27:K27"/>
    <mergeCell ref="H28:K28"/>
    <mergeCell ref="D26:F26"/>
    <mergeCell ref="D38:F38"/>
    <mergeCell ref="H83:K83"/>
    <mergeCell ref="D73:F77"/>
    <mergeCell ref="D79:F83"/>
    <mergeCell ref="H57:K57"/>
    <mergeCell ref="H58:K58"/>
    <mergeCell ref="O40:P40"/>
    <mergeCell ref="O127:P130"/>
    <mergeCell ref="Q127:R127"/>
    <mergeCell ref="D128:D129"/>
    <mergeCell ref="E128:F129"/>
    <mergeCell ref="H128:K128"/>
    <mergeCell ref="Q128:Q129"/>
    <mergeCell ref="R128:R129"/>
    <mergeCell ref="H129:K129"/>
    <mergeCell ref="D130:F130"/>
    <mergeCell ref="H130:K130"/>
    <mergeCell ref="H125:K125"/>
    <mergeCell ref="M125:N126"/>
    <mergeCell ref="M102:N103"/>
    <mergeCell ref="O102:O103"/>
    <mergeCell ref="Q102:Q103"/>
    <mergeCell ref="R102:R103"/>
    <mergeCell ref="G147:K147"/>
    <mergeCell ref="M145:N147"/>
    <mergeCell ref="M140:N143"/>
    <mergeCell ref="O125:P126"/>
    <mergeCell ref="Q125:R126"/>
    <mergeCell ref="H126:K126"/>
    <mergeCell ref="H139:K139"/>
    <mergeCell ref="M139:N139"/>
    <mergeCell ref="O139:P139"/>
    <mergeCell ref="Q139:R139"/>
    <mergeCell ref="H127:K127"/>
    <mergeCell ref="M127:N130"/>
    <mergeCell ref="Q130:R130"/>
    <mergeCell ref="M134:N138"/>
    <mergeCell ref="O134:P138"/>
    <mergeCell ref="Q134:R138"/>
    <mergeCell ref="O145:P147"/>
    <mergeCell ref="Q145:R147"/>
    <mergeCell ref="M144:N144"/>
    <mergeCell ref="O144:P144"/>
    <mergeCell ref="Q144:R144"/>
    <mergeCell ref="B131:B133"/>
    <mergeCell ref="C131:C133"/>
    <mergeCell ref="D131:F131"/>
    <mergeCell ref="H131:K131"/>
    <mergeCell ref="M131:N133"/>
    <mergeCell ref="E134:F134"/>
    <mergeCell ref="G134:K135"/>
    <mergeCell ref="Q131:R131"/>
    <mergeCell ref="E132:F132"/>
    <mergeCell ref="H132:K132"/>
    <mergeCell ref="D133:F133"/>
    <mergeCell ref="H133:K133"/>
    <mergeCell ref="Q133:R133"/>
    <mergeCell ref="B140:B143"/>
    <mergeCell ref="O131:P133"/>
    <mergeCell ref="G140:K140"/>
    <mergeCell ref="A145:A147"/>
    <mergeCell ref="B145:B147"/>
    <mergeCell ref="C145:C147"/>
    <mergeCell ref="D145:D147"/>
    <mergeCell ref="G145:K145"/>
    <mergeCell ref="L134:L135"/>
    <mergeCell ref="E135:F138"/>
    <mergeCell ref="H136:K136"/>
    <mergeCell ref="G137:K138"/>
    <mergeCell ref="L137:L138"/>
    <mergeCell ref="H146:K146"/>
    <mergeCell ref="A134:A138"/>
    <mergeCell ref="E144:F144"/>
    <mergeCell ref="H144:K144"/>
    <mergeCell ref="A140:A143"/>
    <mergeCell ref="O140:P143"/>
    <mergeCell ref="Q140:R140"/>
    <mergeCell ref="H141:K141"/>
    <mergeCell ref="Q141:Q142"/>
    <mergeCell ref="R141:R142"/>
    <mergeCell ref="H142:K142"/>
    <mergeCell ref="G143:K143"/>
    <mergeCell ref="Q143:R143"/>
    <mergeCell ref="A125:A126"/>
    <mergeCell ref="B125:B126"/>
    <mergeCell ref="C125:C126"/>
    <mergeCell ref="D125:D126"/>
    <mergeCell ref="E125:E126"/>
    <mergeCell ref="F125:F126"/>
    <mergeCell ref="A127:A130"/>
    <mergeCell ref="B127:B130"/>
    <mergeCell ref="C127:C130"/>
    <mergeCell ref="D127:F127"/>
    <mergeCell ref="B134:B138"/>
    <mergeCell ref="C134:C138"/>
    <mergeCell ref="A131:A133"/>
    <mergeCell ref="D134:D138"/>
    <mergeCell ref="C140:C143"/>
    <mergeCell ref="D140:D143"/>
    <mergeCell ref="A40:A43"/>
    <mergeCell ref="B40:B43"/>
    <mergeCell ref="C40:C43"/>
    <mergeCell ref="D40:D43"/>
    <mergeCell ref="M40:N43"/>
    <mergeCell ref="H91:K91"/>
    <mergeCell ref="B90:B97"/>
    <mergeCell ref="C90:C97"/>
    <mergeCell ref="A90:A97"/>
    <mergeCell ref="M80:N83"/>
    <mergeCell ref="M73:N76"/>
    <mergeCell ref="M77:M79"/>
    <mergeCell ref="M53:N59"/>
    <mergeCell ref="M44:N50"/>
    <mergeCell ref="M90:N97"/>
    <mergeCell ref="D95:F97"/>
    <mergeCell ref="H73:K73"/>
    <mergeCell ref="H79:K79"/>
    <mergeCell ref="H63:K63"/>
    <mergeCell ref="H46:K46"/>
    <mergeCell ref="H47:K47"/>
    <mergeCell ref="H48:K48"/>
    <mergeCell ref="H49:K49"/>
    <mergeCell ref="H50:K50"/>
    <mergeCell ref="H122:K122"/>
    <mergeCell ref="D123:F123"/>
    <mergeCell ref="O26:P26"/>
    <mergeCell ref="H53:K53"/>
    <mergeCell ref="E37:F37"/>
    <mergeCell ref="O84:P84"/>
    <mergeCell ref="D84:F84"/>
    <mergeCell ref="H84:K84"/>
    <mergeCell ref="M84:N89"/>
    <mergeCell ref="D88:F89"/>
    <mergeCell ref="O79:P83"/>
    <mergeCell ref="O73:P77"/>
    <mergeCell ref="B39:R39"/>
    <mergeCell ref="O41:O42"/>
    <mergeCell ref="G43:K43"/>
    <mergeCell ref="O43:P43"/>
    <mergeCell ref="H74:K74"/>
    <mergeCell ref="H75:K75"/>
    <mergeCell ref="H76:K76"/>
    <mergeCell ref="E78:F78"/>
    <mergeCell ref="O88:P89"/>
    <mergeCell ref="H41:K41"/>
    <mergeCell ref="E32:E33"/>
    <mergeCell ref="F32:F33"/>
    <mergeCell ref="D32:D33"/>
    <mergeCell ref="D30:F31"/>
    <mergeCell ref="A104:A107"/>
    <mergeCell ref="B104:B107"/>
    <mergeCell ref="C104:C107"/>
    <mergeCell ref="D104:D107"/>
    <mergeCell ref="H104:K104"/>
    <mergeCell ref="B84:B89"/>
    <mergeCell ref="C84:C89"/>
    <mergeCell ref="A84:A89"/>
    <mergeCell ref="D85:D87"/>
    <mergeCell ref="H85:K85"/>
    <mergeCell ref="H86:K86"/>
    <mergeCell ref="B102:B103"/>
    <mergeCell ref="C102:C103"/>
    <mergeCell ref="D102:D103"/>
    <mergeCell ref="E102:F103"/>
    <mergeCell ref="G102:K103"/>
    <mergeCell ref="D90:F92"/>
    <mergeCell ref="H90:K90"/>
    <mergeCell ref="H106:K106"/>
    <mergeCell ref="B98:R98"/>
    <mergeCell ref="Q84:R84"/>
    <mergeCell ref="O85:O87"/>
    <mergeCell ref="A73:A83"/>
    <mergeCell ref="B73:B83"/>
    <mergeCell ref="C73:C83"/>
    <mergeCell ref="H80:K80"/>
    <mergeCell ref="H65:K65"/>
    <mergeCell ref="O69:P69"/>
    <mergeCell ref="H71:K71"/>
    <mergeCell ref="D72:F72"/>
    <mergeCell ref="H72:K72"/>
    <mergeCell ref="H66:K66"/>
    <mergeCell ref="D67:F68"/>
    <mergeCell ref="D63:D66"/>
    <mergeCell ref="O67:P68"/>
    <mergeCell ref="M60:N63"/>
    <mergeCell ref="M66:N68"/>
    <mergeCell ref="M64:M65"/>
    <mergeCell ref="H81:K81"/>
    <mergeCell ref="A60:A68"/>
    <mergeCell ref="B60:B68"/>
    <mergeCell ref="C60:C68"/>
    <mergeCell ref="H60:K60"/>
    <mergeCell ref="H61:K61"/>
    <mergeCell ref="H62:K62"/>
    <mergeCell ref="H82:K82"/>
    <mergeCell ref="A12:A13"/>
    <mergeCell ref="B12:B13"/>
    <mergeCell ref="C12:C13"/>
    <mergeCell ref="D12:D13"/>
    <mergeCell ref="E12:F13"/>
    <mergeCell ref="G12:G13"/>
    <mergeCell ref="H12:K13"/>
    <mergeCell ref="A14:A21"/>
    <mergeCell ref="H14:K14"/>
    <mergeCell ref="C14:C23"/>
    <mergeCell ref="B14:B23"/>
    <mergeCell ref="D18:D19"/>
    <mergeCell ref="E18:F19"/>
    <mergeCell ref="D14:F17"/>
    <mergeCell ref="D20:F23"/>
    <mergeCell ref="H20:K20"/>
    <mergeCell ref="H21:K21"/>
    <mergeCell ref="H15:K15"/>
    <mergeCell ref="H16:K16"/>
    <mergeCell ref="H17:K17"/>
    <mergeCell ref="H23:K23"/>
    <mergeCell ref="H22:K22"/>
    <mergeCell ref="A24:A25"/>
    <mergeCell ref="B24:B25"/>
    <mergeCell ref="C24:C25"/>
    <mergeCell ref="D24:D25"/>
    <mergeCell ref="E24:F25"/>
    <mergeCell ref="G24:G25"/>
    <mergeCell ref="H24:K25"/>
    <mergeCell ref="A26:A28"/>
    <mergeCell ref="H26:K26"/>
    <mergeCell ref="E27:F28"/>
    <mergeCell ref="D27:D28"/>
    <mergeCell ref="D54:F59"/>
    <mergeCell ref="D51:D53"/>
    <mergeCell ref="R105:R106"/>
    <mergeCell ref="Q114:R115"/>
    <mergeCell ref="Q107:R107"/>
    <mergeCell ref="M51:M52"/>
    <mergeCell ref="H54:K54"/>
    <mergeCell ref="H55:K55"/>
    <mergeCell ref="H56:K56"/>
    <mergeCell ref="Q66:R68"/>
    <mergeCell ref="Q60:R62"/>
    <mergeCell ref="O107:P107"/>
    <mergeCell ref="O104:P104"/>
    <mergeCell ref="D101:F101"/>
    <mergeCell ref="O110:P110"/>
    <mergeCell ref="M69:N72"/>
    <mergeCell ref="D70:D71"/>
    <mergeCell ref="D93:D94"/>
    <mergeCell ref="Q79:R83"/>
    <mergeCell ref="E70:F71"/>
    <mergeCell ref="H70:K70"/>
    <mergeCell ref="O70:O71"/>
    <mergeCell ref="P70:P71"/>
    <mergeCell ref="Q72:R72"/>
    <mergeCell ref="M116:N119"/>
    <mergeCell ref="O116:P116"/>
    <mergeCell ref="Q116:R116"/>
    <mergeCell ref="O72:P72"/>
    <mergeCell ref="N114:N115"/>
    <mergeCell ref="M114:M115"/>
    <mergeCell ref="P114:P115"/>
    <mergeCell ref="O105:O106"/>
    <mergeCell ref="P105:P106"/>
    <mergeCell ref="Q105:Q106"/>
    <mergeCell ref="O119:P119"/>
    <mergeCell ref="Q119:R119"/>
    <mergeCell ref="O117:O118"/>
    <mergeCell ref="O113:P113"/>
    <mergeCell ref="O108:P108"/>
    <mergeCell ref="O111:P111"/>
    <mergeCell ref="Q104:R104"/>
    <mergeCell ref="O90:P91"/>
    <mergeCell ref="Q90:R90"/>
    <mergeCell ref="Q73:R77"/>
    <mergeCell ref="B111:B113"/>
    <mergeCell ref="C111:C113"/>
    <mergeCell ref="D111:D113"/>
    <mergeCell ref="G111:K111"/>
    <mergeCell ref="M111:N113"/>
    <mergeCell ref="H115:K115"/>
    <mergeCell ref="H105:K105"/>
    <mergeCell ref="L102:L103"/>
    <mergeCell ref="E114:E115"/>
    <mergeCell ref="F114:F115"/>
    <mergeCell ref="H112:K112"/>
    <mergeCell ref="C108:C110"/>
    <mergeCell ref="D108:D110"/>
    <mergeCell ref="G108:K110"/>
    <mergeCell ref="L108:L110"/>
    <mergeCell ref="M108:N110"/>
    <mergeCell ref="E110:F110"/>
    <mergeCell ref="D114:D115"/>
    <mergeCell ref="H107:K107"/>
    <mergeCell ref="B30:B35"/>
    <mergeCell ref="C30:C35"/>
    <mergeCell ref="H30:K30"/>
    <mergeCell ref="H31:K31"/>
    <mergeCell ref="H32:K32"/>
    <mergeCell ref="H33:K33"/>
    <mergeCell ref="A36:A38"/>
    <mergeCell ref="A69:A72"/>
    <mergeCell ref="B69:B72"/>
    <mergeCell ref="E66:F66"/>
    <mergeCell ref="D44:F50"/>
    <mergeCell ref="E51:F51"/>
    <mergeCell ref="B36:B38"/>
    <mergeCell ref="C36:C38"/>
    <mergeCell ref="D36:D37"/>
    <mergeCell ref="E36:F36"/>
    <mergeCell ref="H36:K36"/>
    <mergeCell ref="A44:A59"/>
    <mergeCell ref="B44:B59"/>
    <mergeCell ref="C44:C59"/>
    <mergeCell ref="H44:K44"/>
    <mergeCell ref="H45:K45"/>
    <mergeCell ref="H64:K64"/>
    <mergeCell ref="D60:F62"/>
    <mergeCell ref="A116:A119"/>
    <mergeCell ref="B116:B119"/>
    <mergeCell ref="C116:C119"/>
    <mergeCell ref="D116:F116"/>
    <mergeCell ref="H116:K116"/>
    <mergeCell ref="H8:K8"/>
    <mergeCell ref="A4:A11"/>
    <mergeCell ref="B4:B11"/>
    <mergeCell ref="C4:C11"/>
    <mergeCell ref="D4:F6"/>
    <mergeCell ref="H4:K4"/>
    <mergeCell ref="C69:C72"/>
    <mergeCell ref="D69:F69"/>
    <mergeCell ref="H69:K69"/>
    <mergeCell ref="D119:F119"/>
    <mergeCell ref="H119:K119"/>
    <mergeCell ref="D34:F35"/>
    <mergeCell ref="A114:A115"/>
    <mergeCell ref="B114:B115"/>
    <mergeCell ref="C114:C115"/>
    <mergeCell ref="A108:A110"/>
    <mergeCell ref="B108:B110"/>
    <mergeCell ref="A30:A35"/>
    <mergeCell ref="H9:K9"/>
    <mergeCell ref="G123:K123"/>
    <mergeCell ref="O123:P123"/>
    <mergeCell ref="A99:A101"/>
    <mergeCell ref="B99:B101"/>
    <mergeCell ref="C99:C101"/>
    <mergeCell ref="D99:D100"/>
    <mergeCell ref="H99:K99"/>
    <mergeCell ref="A121:A123"/>
    <mergeCell ref="B121:B123"/>
    <mergeCell ref="C121:C123"/>
    <mergeCell ref="D121:D122"/>
    <mergeCell ref="H121:K121"/>
    <mergeCell ref="M121:N123"/>
    <mergeCell ref="A102:A103"/>
    <mergeCell ref="A111:A113"/>
    <mergeCell ref="M104:N107"/>
    <mergeCell ref="O121:P121"/>
    <mergeCell ref="D120:F120"/>
    <mergeCell ref="G120:K120"/>
    <mergeCell ref="M120:N120"/>
    <mergeCell ref="P117:P118"/>
    <mergeCell ref="H118:K118"/>
    <mergeCell ref="D117:D118"/>
    <mergeCell ref="H117:K117"/>
    <mergeCell ref="B1:C1"/>
    <mergeCell ref="G1:K1"/>
    <mergeCell ref="M1:R1"/>
    <mergeCell ref="A2:A3"/>
    <mergeCell ref="B2:C3"/>
    <mergeCell ref="D2:F3"/>
    <mergeCell ref="G2:K3"/>
    <mergeCell ref="L2:L3"/>
    <mergeCell ref="M2:R2"/>
    <mergeCell ref="M3:N3"/>
    <mergeCell ref="O3:P3"/>
    <mergeCell ref="Q3:R3"/>
    <mergeCell ref="Q4:R6"/>
    <mergeCell ref="H5:K5"/>
    <mergeCell ref="H6:K6"/>
    <mergeCell ref="H7:K7"/>
    <mergeCell ref="G113:K113"/>
    <mergeCell ref="H100:K100"/>
    <mergeCell ref="L24:L25"/>
    <mergeCell ref="M24:N25"/>
    <mergeCell ref="O24:O25"/>
    <mergeCell ref="N12:N13"/>
    <mergeCell ref="O7:O8"/>
    <mergeCell ref="O4:P6"/>
    <mergeCell ref="M4:N6"/>
    <mergeCell ref="L12:L13"/>
    <mergeCell ref="M12:M13"/>
    <mergeCell ref="Q14:R17"/>
    <mergeCell ref="M14:N17"/>
    <mergeCell ref="H11:K11"/>
    <mergeCell ref="O60:P62"/>
    <mergeCell ref="Q26:R26"/>
    <mergeCell ref="O12:O13"/>
    <mergeCell ref="P12:P13"/>
    <mergeCell ref="O20:P23"/>
    <mergeCell ref="O14:P17"/>
    <mergeCell ref="O18:O19"/>
    <mergeCell ref="H114:K114"/>
    <mergeCell ref="O114:O115"/>
    <mergeCell ref="Q101:R101"/>
    <mergeCell ref="Q111:R113"/>
    <mergeCell ref="H101:K101"/>
    <mergeCell ref="O101:P101"/>
    <mergeCell ref="H77:K77"/>
    <mergeCell ref="H78:K78"/>
    <mergeCell ref="Q96:R97"/>
    <mergeCell ref="H92:K92"/>
    <mergeCell ref="O92:O94"/>
    <mergeCell ref="H93:K93"/>
    <mergeCell ref="H94:K94"/>
    <mergeCell ref="M99:N101"/>
    <mergeCell ref="O99:P99"/>
    <mergeCell ref="H18:K18"/>
    <mergeCell ref="H19:K19"/>
    <mergeCell ref="P32:P33"/>
    <mergeCell ref="O32:O33"/>
    <mergeCell ref="O30:P31"/>
    <mergeCell ref="O34:P35"/>
    <mergeCell ref="Q30:R31"/>
    <mergeCell ref="Q32:Q34"/>
  </mergeCells>
  <conditionalFormatting sqref="N18:N19">
    <cfRule type="expression" dxfId="108" priority="28">
      <formula>#REF!&gt;$E$1</formula>
    </cfRule>
  </conditionalFormatting>
  <conditionalFormatting sqref="P27">
    <cfRule type="expression" dxfId="107" priority="27">
      <formula>#REF!&gt;$E$1</formula>
    </cfRule>
  </conditionalFormatting>
  <conditionalFormatting sqref="P114">
    <cfRule type="expression" dxfId="106" priority="26">
      <formula>#REF!&gt;$E$1</formula>
    </cfRule>
  </conditionalFormatting>
  <conditionalFormatting sqref="P63">
    <cfRule type="expression" dxfId="105" priority="25">
      <formula>#REF!&gt;$E$1</formula>
    </cfRule>
  </conditionalFormatting>
  <conditionalFormatting sqref="P105">
    <cfRule type="expression" dxfId="104" priority="24">
      <formula>#REF!&gt;$E$1</formula>
    </cfRule>
  </conditionalFormatting>
  <conditionalFormatting sqref="P70">
    <cfRule type="expression" dxfId="103" priority="23">
      <formula>#REF!&gt;$E$1</formula>
    </cfRule>
  </conditionalFormatting>
  <conditionalFormatting sqref="P122">
    <cfRule type="expression" dxfId="102" priority="22">
      <formula>#REF!&gt;$E$1</formula>
    </cfRule>
  </conditionalFormatting>
  <conditionalFormatting sqref="P112 P7">
    <cfRule type="expression" dxfId="101" priority="21">
      <formula>#REF!&gt;$E$1</formula>
    </cfRule>
  </conditionalFormatting>
  <conditionalFormatting sqref="F32 F114 F121:F122 F99:F100 F117:F118 F63:F65 F52:F53 F85:F87 F93:F94">
    <cfRule type="cellIs" dxfId="100" priority="20" operator="lessThan">
      <formula>0</formula>
    </cfRule>
  </conditionalFormatting>
  <conditionalFormatting sqref="F104">
    <cfRule type="cellIs" dxfId="99" priority="19" operator="lessThan">
      <formula>0</formula>
    </cfRule>
  </conditionalFormatting>
  <conditionalFormatting sqref="F105:F107">
    <cfRule type="cellIs" dxfId="98" priority="18" operator="lessThan">
      <formula>0</formula>
    </cfRule>
  </conditionalFormatting>
  <conditionalFormatting sqref="F40:F41">
    <cfRule type="cellIs" dxfId="97" priority="17" operator="lessThan">
      <formula>0</formula>
    </cfRule>
  </conditionalFormatting>
  <conditionalFormatting sqref="F42">
    <cfRule type="cellIs" dxfId="96" priority="16" operator="lessThan">
      <formula>0</formula>
    </cfRule>
  </conditionalFormatting>
  <conditionalFormatting sqref="F43">
    <cfRule type="cellIs" dxfId="95" priority="15" operator="lessThan">
      <formula>0</formula>
    </cfRule>
  </conditionalFormatting>
  <conditionalFormatting sqref="F140">
    <cfRule type="cellIs" dxfId="94" priority="13" operator="lessThan">
      <formula>0</formula>
    </cfRule>
  </conditionalFormatting>
  <conditionalFormatting sqref="F141:F143">
    <cfRule type="cellIs" dxfId="93" priority="12" operator="lessThan">
      <formula>0</formula>
    </cfRule>
  </conditionalFormatting>
  <conditionalFormatting sqref="P32">
    <cfRule type="expression" dxfId="92" priority="11">
      <formula>#REF!&gt;$E$1</formula>
    </cfRule>
  </conditionalFormatting>
  <conditionalFormatting sqref="P51">
    <cfRule type="expression" dxfId="91" priority="10">
      <formula>#REF!&gt;$E$1</formula>
    </cfRule>
  </conditionalFormatting>
  <conditionalFormatting sqref="P100">
    <cfRule type="expression" dxfId="90" priority="9">
      <formula>#REF!&gt;$E$1</formula>
    </cfRule>
  </conditionalFormatting>
  <conditionalFormatting sqref="P117">
    <cfRule type="expression" dxfId="89" priority="8">
      <formula>#REF!&gt;$E$1</formula>
    </cfRule>
  </conditionalFormatting>
  <conditionalFormatting sqref="P12">
    <cfRule type="expression" dxfId="88" priority="7">
      <formula>#REF!&gt;$E$1</formula>
    </cfRule>
  </conditionalFormatting>
  <conditionalFormatting sqref="P24">
    <cfRule type="expression" dxfId="87" priority="6">
      <formula>#REF!&gt;$E$1</formula>
    </cfRule>
  </conditionalFormatting>
  <conditionalFormatting sqref="F111:F112">
    <cfRule type="cellIs" dxfId="86" priority="5" operator="lessThan">
      <formula>0</formula>
    </cfRule>
  </conditionalFormatting>
  <conditionalFormatting sqref="F113">
    <cfRule type="cellIs" dxfId="85" priority="4" operator="lessThan">
      <formula>0</formula>
    </cfRule>
  </conditionalFormatting>
  <conditionalFormatting sqref="F108:F109">
    <cfRule type="cellIs" dxfId="84" priority="3" operator="lessThan">
      <formula>0</formula>
    </cfRule>
  </conditionalFormatting>
  <conditionalFormatting sqref="P109">
    <cfRule type="expression" dxfId="83" priority="2">
      <formula>#REF!&gt;$E$1</formula>
    </cfRule>
  </conditionalFormatting>
  <conditionalFormatting sqref="P50">
    <cfRule type="expression" dxfId="82" priority="1">
      <formula>#REF!&gt;$E$1</formula>
    </cfRule>
  </conditionalFormatting>
  <conditionalFormatting sqref="H16">
    <cfRule type="expression" dxfId="81" priority="86">
      <formula>$D$121&gt;$D$2</formula>
    </cfRule>
  </conditionalFormatting>
  <dataValidations count="8">
    <dataValidation allowBlank="1" showInputMessage="1" showErrorMessage="1" prompt="преступник" sqref="H72:K72 H33:K33 R71 H56:K56 H119:K119 H133:K133 H28:K28 R34 R118 H81:K81 R123 H142:K142 H21:K21 H10:K10"/>
    <dataValidation allowBlank="1" showInputMessage="1" showErrorMessage="1" prompt="ополченец" sqref="H90:K90 H70:K70 R50 H121:K121 R7 H4:K5 H118:K118 H146:K146 H44:K44 H37:K37 H130:K130"/>
    <dataValidation allowBlank="1" showInputMessage="1" showErrorMessage="1" prompt="аэротеургия" sqref="H31:K31 H14:K20 H131:K132 R24 H86:K86 N18:N19"/>
    <dataValidation allowBlank="1" showInputMessage="1" showErrorMessage="1" prompt="геомантия" sqref="H106:K106 H71:K71 H122:K122 H24 H73:K80 N77:N78 H115:K115 H139:K139 H101:K101 H125:K126 H8:K9"/>
    <dataValidation allowBlank="1" showInputMessage="1" showErrorMessage="1" prompt="пирокинетика" sqref="N65 H91:I94 R51 H7:K7 R63 R128 N51 R25 H45:K55 R27 H141:K141 R18 K91:K94 J91:J97 H32:K32"/>
    <dataValidation allowBlank="1" showInputMessage="1" showErrorMessage="1" prompt="опытный стрелок" sqref="R122 R100 R70 R109 R78 R13 R117 H144 R33 H100:K100 H26:K27 H12"/>
    <dataValidation allowBlank="1" showInputMessage="1" showErrorMessage="1" prompt="гидрософистика" sqref="H40 R69 R32 N52 R121 R99 H99:K99 N64 R12 H60:K65 H104:K105 H84:K85 H127:K129 R108"/>
    <dataValidation allowBlank="1" showInputMessage="1" showErrorMessage="1" prompt="колдовство" sqref="H136:K136 H36:K36 R120 H69:K69 H30:K30 H6:K6 H116:K117 H114:K114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2.77734375" style="114" customWidth="1"/>
    <col min="2" max="2" width="2.6640625" style="114" customWidth="1"/>
    <col min="3" max="3" width="24.77734375" style="108" customWidth="1"/>
    <col min="4" max="4" width="2.6640625" style="108" customWidth="1"/>
    <col min="5" max="5" width="18.6640625" style="108" customWidth="1"/>
    <col min="6" max="6" width="2.6640625" style="108" customWidth="1"/>
    <col min="7" max="7" width="16.109375" style="108" customWidth="1"/>
    <col min="8" max="8" width="6.33203125" style="114" customWidth="1"/>
    <col min="9" max="9" width="18.5546875" style="108" customWidth="1"/>
    <col min="10" max="10" width="6.33203125" style="108" customWidth="1"/>
    <col min="11" max="11" width="2.6640625" style="108" customWidth="1"/>
    <col min="12" max="12" width="19.77734375" style="108" customWidth="1"/>
    <col min="13" max="13" width="6.33203125" style="108" customWidth="1"/>
    <col min="14" max="14" width="18.33203125" style="108" customWidth="1"/>
    <col min="15" max="15" width="2.6640625" style="108" customWidth="1"/>
    <col min="16" max="16" width="24.77734375" style="108" customWidth="1"/>
    <col min="17" max="17" width="8.77734375" style="108" customWidth="1"/>
    <col min="18" max="18" width="19.33203125" style="108" customWidth="1"/>
    <col min="19" max="19" width="8.88671875" style="108"/>
    <col min="20" max="16384" width="8.88671875" style="114"/>
  </cols>
  <sheetData>
    <row r="1" spans="1:19" x14ac:dyDescent="0.3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O1" s="322"/>
      <c r="P1" s="322"/>
    </row>
    <row r="2" spans="1:19" ht="14.4" customHeight="1" x14ac:dyDescent="0.3">
      <c r="A2" s="374"/>
      <c r="B2" s="416" t="s">
        <v>351</v>
      </c>
      <c r="C2" s="416"/>
      <c r="D2" s="416" t="s">
        <v>352</v>
      </c>
      <c r="E2" s="416"/>
      <c r="F2" s="416"/>
      <c r="G2" s="416"/>
      <c r="H2" s="416"/>
      <c r="I2" s="416"/>
      <c r="J2" s="416"/>
      <c r="K2" s="416"/>
      <c r="L2" s="416"/>
      <c r="M2" s="416"/>
      <c r="N2" s="410" t="s">
        <v>374</v>
      </c>
      <c r="O2" s="416" t="s">
        <v>353</v>
      </c>
      <c r="P2" s="416"/>
      <c r="Q2" s="417" t="s">
        <v>193</v>
      </c>
      <c r="R2" s="410" t="s">
        <v>388</v>
      </c>
      <c r="S2" s="114"/>
    </row>
    <row r="3" spans="1:19" x14ac:dyDescent="0.3">
      <c r="A3" s="374"/>
      <c r="B3" s="416"/>
      <c r="C3" s="416"/>
      <c r="D3" s="416" t="s">
        <v>112</v>
      </c>
      <c r="E3" s="416"/>
      <c r="F3" s="416" t="s">
        <v>446</v>
      </c>
      <c r="G3" s="416"/>
      <c r="H3" s="416"/>
      <c r="I3" s="416" t="s">
        <v>372</v>
      </c>
      <c r="J3" s="416"/>
      <c r="K3" s="416" t="s">
        <v>373</v>
      </c>
      <c r="L3" s="416"/>
      <c r="M3" s="416"/>
      <c r="N3" s="411"/>
      <c r="O3" s="416"/>
      <c r="P3" s="416"/>
      <c r="Q3" s="416"/>
      <c r="R3" s="411"/>
      <c r="S3" s="114"/>
    </row>
    <row r="4" spans="1:19" ht="14.4" customHeight="1" x14ac:dyDescent="0.3">
      <c r="A4" s="405"/>
      <c r="B4" s="412"/>
      <c r="C4" s="664" t="s">
        <v>376</v>
      </c>
      <c r="D4" s="401"/>
      <c r="E4" s="666" t="s">
        <v>380</v>
      </c>
      <c r="F4" s="648"/>
      <c r="G4" s="158" t="s">
        <v>390</v>
      </c>
      <c r="H4" s="134">
        <v>0.5</v>
      </c>
      <c r="I4" s="401" t="s">
        <v>214</v>
      </c>
      <c r="J4" s="404"/>
      <c r="K4" s="401"/>
      <c r="L4" s="675" t="s">
        <v>380</v>
      </c>
      <c r="M4" s="653">
        <v>0.2</v>
      </c>
      <c r="N4" s="635" t="s">
        <v>375</v>
      </c>
      <c r="O4" s="412"/>
      <c r="P4" s="664" t="s">
        <v>384</v>
      </c>
      <c r="Q4" s="410">
        <v>3</v>
      </c>
      <c r="R4" s="677" t="s">
        <v>460</v>
      </c>
    </row>
    <row r="5" spans="1:19" x14ac:dyDescent="0.3">
      <c r="A5" s="405"/>
      <c r="B5" s="418"/>
      <c r="C5" s="665"/>
      <c r="D5" s="402"/>
      <c r="E5" s="667"/>
      <c r="F5" s="534"/>
      <c r="G5" s="131" t="s">
        <v>391</v>
      </c>
      <c r="H5" s="137">
        <v>-0.25</v>
      </c>
      <c r="I5" s="402"/>
      <c r="J5" s="403"/>
      <c r="K5" s="402"/>
      <c r="L5" s="676"/>
      <c r="M5" s="655"/>
      <c r="N5" s="636"/>
      <c r="O5" s="418"/>
      <c r="P5" s="665"/>
      <c r="Q5" s="411"/>
      <c r="R5" s="678"/>
    </row>
    <row r="6" spans="1:19" x14ac:dyDescent="0.3">
      <c r="A6" s="405"/>
      <c r="B6" s="412"/>
      <c r="C6" s="664" t="s">
        <v>377</v>
      </c>
      <c r="D6" s="401"/>
      <c r="E6" s="672" t="s">
        <v>381</v>
      </c>
      <c r="F6" s="648"/>
      <c r="G6" s="158" t="s">
        <v>392</v>
      </c>
      <c r="H6" s="134">
        <v>0.5</v>
      </c>
      <c r="I6" s="401" t="s">
        <v>214</v>
      </c>
      <c r="J6" s="404"/>
      <c r="K6" s="401"/>
      <c r="L6" s="661" t="s">
        <v>381</v>
      </c>
      <c r="M6" s="653">
        <v>0.2</v>
      </c>
      <c r="N6" s="635" t="s">
        <v>375</v>
      </c>
      <c r="O6" s="412"/>
      <c r="P6" s="664" t="s">
        <v>385</v>
      </c>
      <c r="Q6" s="410">
        <v>3</v>
      </c>
      <c r="R6" s="678"/>
    </row>
    <row r="7" spans="1:19" x14ac:dyDescent="0.3">
      <c r="A7" s="405"/>
      <c r="B7" s="414"/>
      <c r="C7" s="527"/>
      <c r="D7" s="398"/>
      <c r="E7" s="673"/>
      <c r="F7" s="531"/>
      <c r="G7" s="66" t="s">
        <v>391</v>
      </c>
      <c r="H7" s="136">
        <v>0.5</v>
      </c>
      <c r="I7" s="398"/>
      <c r="J7" s="405"/>
      <c r="K7" s="398"/>
      <c r="L7" s="662"/>
      <c r="M7" s="654"/>
      <c r="N7" s="660"/>
      <c r="O7" s="414"/>
      <c r="P7" s="527"/>
      <c r="Q7" s="498"/>
      <c r="R7" s="678"/>
    </row>
    <row r="8" spans="1:19" x14ac:dyDescent="0.3">
      <c r="A8" s="405"/>
      <c r="B8" s="418"/>
      <c r="C8" s="665"/>
      <c r="D8" s="402"/>
      <c r="E8" s="674"/>
      <c r="F8" s="534"/>
      <c r="G8" s="131" t="s">
        <v>390</v>
      </c>
      <c r="H8" s="137">
        <v>-0.25</v>
      </c>
      <c r="I8" s="402"/>
      <c r="J8" s="403"/>
      <c r="K8" s="402"/>
      <c r="L8" s="663"/>
      <c r="M8" s="655"/>
      <c r="N8" s="636"/>
      <c r="O8" s="418"/>
      <c r="P8" s="665"/>
      <c r="Q8" s="411"/>
      <c r="R8" s="678"/>
    </row>
    <row r="9" spans="1:19" x14ac:dyDescent="0.3">
      <c r="A9" s="405"/>
      <c r="B9" s="412"/>
      <c r="C9" s="664" t="s">
        <v>378</v>
      </c>
      <c r="D9" s="401"/>
      <c r="E9" s="670" t="s">
        <v>382</v>
      </c>
      <c r="F9" s="648"/>
      <c r="G9" s="158" t="s">
        <v>393</v>
      </c>
      <c r="H9" s="134">
        <v>0.5</v>
      </c>
      <c r="I9" s="401" t="s">
        <v>214</v>
      </c>
      <c r="J9" s="404"/>
      <c r="K9" s="401"/>
      <c r="L9" s="656" t="s">
        <v>382</v>
      </c>
      <c r="M9" s="653">
        <v>0.2</v>
      </c>
      <c r="N9" s="635" t="s">
        <v>375</v>
      </c>
      <c r="O9" s="412"/>
      <c r="P9" s="664" t="s">
        <v>386</v>
      </c>
      <c r="Q9" s="410">
        <v>3</v>
      </c>
      <c r="R9" s="678"/>
    </row>
    <row r="10" spans="1:19" x14ac:dyDescent="0.3">
      <c r="A10" s="405"/>
      <c r="B10" s="418"/>
      <c r="C10" s="665"/>
      <c r="D10" s="402"/>
      <c r="E10" s="671"/>
      <c r="F10" s="534"/>
      <c r="G10" s="131" t="s">
        <v>394</v>
      </c>
      <c r="H10" s="137">
        <v>-0.25</v>
      </c>
      <c r="I10" s="402"/>
      <c r="J10" s="403"/>
      <c r="K10" s="402"/>
      <c r="L10" s="657"/>
      <c r="M10" s="655"/>
      <c r="N10" s="636"/>
      <c r="O10" s="418"/>
      <c r="P10" s="665"/>
      <c r="Q10" s="411"/>
      <c r="R10" s="678"/>
    </row>
    <row r="11" spans="1:19" x14ac:dyDescent="0.3">
      <c r="A11" s="405"/>
      <c r="B11" s="412"/>
      <c r="C11" s="664" t="s">
        <v>379</v>
      </c>
      <c r="D11" s="401"/>
      <c r="E11" s="668" t="s">
        <v>383</v>
      </c>
      <c r="F11" s="648"/>
      <c r="G11" s="158" t="s">
        <v>394</v>
      </c>
      <c r="H11" s="134">
        <v>0.5</v>
      </c>
      <c r="I11" s="401" t="s">
        <v>214</v>
      </c>
      <c r="J11" s="404"/>
      <c r="K11" s="401"/>
      <c r="L11" s="658" t="s">
        <v>383</v>
      </c>
      <c r="M11" s="653">
        <v>0.2</v>
      </c>
      <c r="N11" s="635" t="s">
        <v>375</v>
      </c>
      <c r="O11" s="412"/>
      <c r="P11" s="664" t="s">
        <v>387</v>
      </c>
      <c r="Q11" s="410">
        <v>3</v>
      </c>
      <c r="R11" s="678"/>
    </row>
    <row r="12" spans="1:19" x14ac:dyDescent="0.3">
      <c r="A12" s="405"/>
      <c r="B12" s="418"/>
      <c r="C12" s="665"/>
      <c r="D12" s="402"/>
      <c r="E12" s="669"/>
      <c r="F12" s="534"/>
      <c r="G12" s="131" t="s">
        <v>393</v>
      </c>
      <c r="H12" s="137">
        <v>-0.25</v>
      </c>
      <c r="I12" s="402"/>
      <c r="J12" s="403"/>
      <c r="K12" s="402"/>
      <c r="L12" s="659"/>
      <c r="M12" s="655"/>
      <c r="N12" s="636"/>
      <c r="O12" s="418"/>
      <c r="P12" s="665"/>
      <c r="Q12" s="411"/>
      <c r="R12" s="679"/>
    </row>
    <row r="13" spans="1:19" ht="14.4" customHeight="1" x14ac:dyDescent="0.3">
      <c r="A13" s="405"/>
      <c r="B13" s="401"/>
      <c r="C13" s="680" t="s">
        <v>402</v>
      </c>
      <c r="D13" s="401"/>
      <c r="E13" s="666" t="s">
        <v>380</v>
      </c>
      <c r="F13" s="648"/>
      <c r="G13" s="158" t="s">
        <v>390</v>
      </c>
      <c r="H13" s="134">
        <v>0.25</v>
      </c>
      <c r="I13" s="401" t="s">
        <v>214</v>
      </c>
      <c r="J13" s="375"/>
      <c r="K13" s="637" t="s">
        <v>214</v>
      </c>
      <c r="L13" s="638"/>
      <c r="M13" s="639"/>
      <c r="N13" s="646" t="s">
        <v>214</v>
      </c>
      <c r="O13" s="375"/>
      <c r="P13" s="680" t="s">
        <v>402</v>
      </c>
      <c r="Q13" s="404">
        <v>3</v>
      </c>
      <c r="R13" s="677" t="s">
        <v>389</v>
      </c>
    </row>
    <row r="14" spans="1:19" x14ac:dyDescent="0.3">
      <c r="A14" s="405"/>
      <c r="B14" s="402"/>
      <c r="C14" s="665"/>
      <c r="D14" s="402"/>
      <c r="E14" s="667"/>
      <c r="F14" s="534"/>
      <c r="G14" s="131" t="s">
        <v>391</v>
      </c>
      <c r="H14" s="137">
        <v>-0.25</v>
      </c>
      <c r="I14" s="402"/>
      <c r="J14" s="322"/>
      <c r="K14" s="643"/>
      <c r="L14" s="644"/>
      <c r="M14" s="645"/>
      <c r="N14" s="636"/>
      <c r="O14" s="322"/>
      <c r="P14" s="665"/>
      <c r="Q14" s="403"/>
      <c r="R14" s="678"/>
    </row>
    <row r="15" spans="1:19" x14ac:dyDescent="0.3">
      <c r="A15" s="405"/>
      <c r="B15" s="401"/>
      <c r="C15" s="680" t="s">
        <v>403</v>
      </c>
      <c r="D15" s="401"/>
      <c r="E15" s="672" t="s">
        <v>381</v>
      </c>
      <c r="F15" s="648"/>
      <c r="G15" s="399" t="s">
        <v>392</v>
      </c>
      <c r="H15" s="492">
        <v>0.25</v>
      </c>
      <c r="I15" s="401" t="s">
        <v>214</v>
      </c>
      <c r="J15" s="375"/>
      <c r="K15" s="637" t="s">
        <v>214</v>
      </c>
      <c r="L15" s="638"/>
      <c r="M15" s="639"/>
      <c r="N15" s="646" t="s">
        <v>214</v>
      </c>
      <c r="O15" s="375"/>
      <c r="P15" s="680" t="s">
        <v>403</v>
      </c>
      <c r="Q15" s="404">
        <v>3</v>
      </c>
      <c r="R15" s="678"/>
    </row>
    <row r="16" spans="1:19" x14ac:dyDescent="0.3">
      <c r="A16" s="405"/>
      <c r="B16" s="402"/>
      <c r="C16" s="665"/>
      <c r="D16" s="402"/>
      <c r="E16" s="673"/>
      <c r="F16" s="534"/>
      <c r="G16" s="406"/>
      <c r="H16" s="493"/>
      <c r="I16" s="402"/>
      <c r="J16" s="322"/>
      <c r="K16" s="643"/>
      <c r="L16" s="644"/>
      <c r="M16" s="645"/>
      <c r="N16" s="636"/>
      <c r="O16" s="322"/>
      <c r="P16" s="665"/>
      <c r="Q16" s="403"/>
      <c r="R16" s="678"/>
    </row>
    <row r="17" spans="1:18" x14ac:dyDescent="0.3">
      <c r="A17" s="405"/>
      <c r="B17" s="401"/>
      <c r="C17" s="680" t="s">
        <v>404</v>
      </c>
      <c r="D17" s="401"/>
      <c r="E17" s="668" t="s">
        <v>383</v>
      </c>
      <c r="F17" s="648"/>
      <c r="G17" s="158" t="s">
        <v>394</v>
      </c>
      <c r="H17" s="134">
        <v>0.25</v>
      </c>
      <c r="I17" s="401" t="s">
        <v>214</v>
      </c>
      <c r="J17" s="375"/>
      <c r="K17" s="637" t="s">
        <v>214</v>
      </c>
      <c r="L17" s="638"/>
      <c r="M17" s="639"/>
      <c r="N17" s="646" t="s">
        <v>214</v>
      </c>
      <c r="O17" s="375"/>
      <c r="P17" s="680" t="s">
        <v>404</v>
      </c>
      <c r="Q17" s="404">
        <v>3</v>
      </c>
      <c r="R17" s="678"/>
    </row>
    <row r="18" spans="1:18" x14ac:dyDescent="0.3">
      <c r="A18" s="405"/>
      <c r="B18" s="402"/>
      <c r="C18" s="665"/>
      <c r="D18" s="402"/>
      <c r="E18" s="669"/>
      <c r="F18" s="534"/>
      <c r="G18" s="131" t="s">
        <v>393</v>
      </c>
      <c r="H18" s="137">
        <v>-0.25</v>
      </c>
      <c r="I18" s="402"/>
      <c r="J18" s="322"/>
      <c r="K18" s="643"/>
      <c r="L18" s="644"/>
      <c r="M18" s="645"/>
      <c r="N18" s="636"/>
      <c r="O18" s="322"/>
      <c r="P18" s="665"/>
      <c r="Q18" s="403"/>
      <c r="R18" s="678"/>
    </row>
    <row r="19" spans="1:18" ht="14.4" customHeight="1" x14ac:dyDescent="0.3">
      <c r="A19" s="374"/>
      <c r="B19" s="401"/>
      <c r="C19" s="680" t="s">
        <v>405</v>
      </c>
      <c r="D19" s="401"/>
      <c r="E19" s="670" t="s">
        <v>382</v>
      </c>
      <c r="F19" s="648"/>
      <c r="G19" s="158" t="s">
        <v>393</v>
      </c>
      <c r="H19" s="134">
        <v>0.25</v>
      </c>
      <c r="I19" s="401" t="s">
        <v>214</v>
      </c>
      <c r="J19" s="375"/>
      <c r="K19" s="637" t="s">
        <v>214</v>
      </c>
      <c r="L19" s="638"/>
      <c r="M19" s="639"/>
      <c r="N19" s="646" t="s">
        <v>214</v>
      </c>
      <c r="O19" s="375"/>
      <c r="P19" s="680" t="s">
        <v>405</v>
      </c>
      <c r="Q19" s="404">
        <v>3</v>
      </c>
      <c r="R19" s="678"/>
    </row>
    <row r="20" spans="1:18" x14ac:dyDescent="0.3">
      <c r="A20" s="374"/>
      <c r="B20" s="402"/>
      <c r="C20" s="665"/>
      <c r="D20" s="402"/>
      <c r="E20" s="671"/>
      <c r="F20" s="534"/>
      <c r="G20" s="131" t="s">
        <v>394</v>
      </c>
      <c r="H20" s="137">
        <v>-0.25</v>
      </c>
      <c r="I20" s="402"/>
      <c r="J20" s="322"/>
      <c r="K20" s="643"/>
      <c r="L20" s="644"/>
      <c r="M20" s="645"/>
      <c r="N20" s="636"/>
      <c r="O20" s="322"/>
      <c r="P20" s="665"/>
      <c r="Q20" s="403"/>
      <c r="R20" s="679"/>
    </row>
    <row r="21" spans="1:18" x14ac:dyDescent="0.3">
      <c r="A21" s="405"/>
      <c r="B21" s="401"/>
      <c r="C21" s="400" t="s">
        <v>481</v>
      </c>
      <c r="D21" s="401" t="s">
        <v>214</v>
      </c>
      <c r="E21" s="404"/>
      <c r="F21" s="648"/>
      <c r="G21" s="158" t="s">
        <v>394</v>
      </c>
      <c r="H21" s="134">
        <v>0.5</v>
      </c>
      <c r="I21" s="401" t="s">
        <v>214</v>
      </c>
      <c r="J21" s="404"/>
      <c r="K21" s="637" t="s">
        <v>214</v>
      </c>
      <c r="L21" s="638"/>
      <c r="M21" s="639"/>
      <c r="N21" s="646" t="s">
        <v>214</v>
      </c>
      <c r="O21" s="401"/>
      <c r="P21" s="400" t="s">
        <v>481</v>
      </c>
      <c r="Q21" s="410">
        <v>2</v>
      </c>
      <c r="R21" s="681" t="s">
        <v>420</v>
      </c>
    </row>
    <row r="22" spans="1:18" x14ac:dyDescent="0.3">
      <c r="A22" s="405"/>
      <c r="B22" s="398"/>
      <c r="C22" s="409"/>
      <c r="D22" s="398"/>
      <c r="E22" s="405"/>
      <c r="F22" s="531"/>
      <c r="G22" s="66" t="s">
        <v>393</v>
      </c>
      <c r="H22" s="136">
        <v>0.5</v>
      </c>
      <c r="I22" s="398"/>
      <c r="J22" s="405"/>
      <c r="K22" s="640"/>
      <c r="L22" s="641"/>
      <c r="M22" s="642"/>
      <c r="N22" s="647"/>
      <c r="O22" s="398"/>
      <c r="P22" s="409"/>
      <c r="Q22" s="498"/>
      <c r="R22" s="498"/>
    </row>
    <row r="23" spans="1:18" x14ac:dyDescent="0.3">
      <c r="A23" s="405"/>
      <c r="B23" s="398"/>
      <c r="C23" s="409"/>
      <c r="D23" s="398"/>
      <c r="E23" s="405"/>
      <c r="F23" s="531"/>
      <c r="G23" s="66" t="s">
        <v>391</v>
      </c>
      <c r="H23" s="136">
        <v>0.5</v>
      </c>
      <c r="I23" s="398"/>
      <c r="J23" s="405"/>
      <c r="K23" s="640"/>
      <c r="L23" s="641"/>
      <c r="M23" s="642"/>
      <c r="N23" s="647"/>
      <c r="O23" s="398"/>
      <c r="P23" s="409"/>
      <c r="Q23" s="498"/>
      <c r="R23" s="498"/>
    </row>
    <row r="24" spans="1:18" x14ac:dyDescent="0.3">
      <c r="A24" s="405"/>
      <c r="B24" s="402"/>
      <c r="C24" s="407"/>
      <c r="D24" s="402"/>
      <c r="E24" s="403"/>
      <c r="F24" s="534"/>
      <c r="G24" s="131" t="s">
        <v>390</v>
      </c>
      <c r="H24" s="137">
        <v>0.5</v>
      </c>
      <c r="I24" s="402"/>
      <c r="J24" s="403"/>
      <c r="K24" s="643"/>
      <c r="L24" s="644"/>
      <c r="M24" s="645"/>
      <c r="N24" s="636"/>
      <c r="O24" s="402"/>
      <c r="P24" s="407"/>
      <c r="Q24" s="411"/>
      <c r="R24" s="411"/>
    </row>
    <row r="25" spans="1:18" ht="14.4" customHeight="1" x14ac:dyDescent="0.3">
      <c r="A25" s="405"/>
      <c r="B25" s="412"/>
      <c r="C25" s="400" t="s">
        <v>390</v>
      </c>
      <c r="D25" s="401" t="s">
        <v>214</v>
      </c>
      <c r="E25" s="404"/>
      <c r="F25" s="401"/>
      <c r="G25" s="133" t="s">
        <v>496</v>
      </c>
      <c r="H25" s="134">
        <v>0.5</v>
      </c>
      <c r="I25" s="401" t="s">
        <v>214</v>
      </c>
      <c r="J25" s="404"/>
      <c r="K25" s="401" t="s">
        <v>214</v>
      </c>
      <c r="L25" s="375"/>
      <c r="M25" s="404"/>
      <c r="N25" s="410" t="s">
        <v>214</v>
      </c>
      <c r="O25" s="650"/>
      <c r="P25" s="649" t="s">
        <v>490</v>
      </c>
      <c r="Q25" s="410">
        <v>3</v>
      </c>
      <c r="R25" s="410" t="s">
        <v>214</v>
      </c>
    </row>
    <row r="26" spans="1:18" x14ac:dyDescent="0.3">
      <c r="A26" s="405"/>
      <c r="B26" s="414"/>
      <c r="C26" s="409"/>
      <c r="D26" s="398"/>
      <c r="E26" s="405"/>
      <c r="F26" s="398"/>
      <c r="G26" s="124" t="s">
        <v>497</v>
      </c>
      <c r="H26" s="136">
        <v>0.5</v>
      </c>
      <c r="I26" s="398"/>
      <c r="J26" s="405"/>
      <c r="K26" s="398"/>
      <c r="L26" s="372"/>
      <c r="M26" s="405"/>
      <c r="N26" s="498"/>
      <c r="O26" s="651"/>
      <c r="P26" s="592"/>
      <c r="Q26" s="498"/>
      <c r="R26" s="498"/>
    </row>
    <row r="27" spans="1:18" x14ac:dyDescent="0.3">
      <c r="A27" s="405"/>
      <c r="B27" s="418"/>
      <c r="C27" s="407"/>
      <c r="D27" s="402"/>
      <c r="E27" s="403"/>
      <c r="F27" s="402"/>
      <c r="G27" s="130" t="s">
        <v>498</v>
      </c>
      <c r="H27" s="137">
        <v>0.5</v>
      </c>
      <c r="I27" s="402"/>
      <c r="J27" s="403"/>
      <c r="K27" s="402"/>
      <c r="L27" s="322"/>
      <c r="M27" s="403"/>
      <c r="N27" s="411"/>
      <c r="O27" s="652"/>
      <c r="P27" s="594"/>
      <c r="Q27" s="411"/>
      <c r="R27" s="411"/>
    </row>
    <row r="28" spans="1:18" x14ac:dyDescent="0.3">
      <c r="B28" s="83"/>
      <c r="C28" s="152" t="s">
        <v>482</v>
      </c>
      <c r="D28" s="437" t="s">
        <v>214</v>
      </c>
      <c r="E28" s="439"/>
      <c r="F28" s="437" t="s">
        <v>214</v>
      </c>
      <c r="G28" s="438"/>
      <c r="H28" s="439"/>
      <c r="I28" s="154" t="s">
        <v>499</v>
      </c>
      <c r="J28" s="155">
        <v>3</v>
      </c>
      <c r="K28" s="632" t="s">
        <v>214</v>
      </c>
      <c r="L28" s="633"/>
      <c r="M28" s="634"/>
      <c r="N28" s="159" t="s">
        <v>214</v>
      </c>
      <c r="O28" s="154"/>
      <c r="P28" s="152" t="s">
        <v>491</v>
      </c>
      <c r="Q28" s="53">
        <v>4</v>
      </c>
      <c r="R28" s="53" t="s">
        <v>419</v>
      </c>
    </row>
    <row r="29" spans="1:18" x14ac:dyDescent="0.3">
      <c r="A29" s="405"/>
      <c r="B29" s="412"/>
      <c r="C29" s="400" t="s">
        <v>483</v>
      </c>
      <c r="D29" s="401" t="s">
        <v>214</v>
      </c>
      <c r="E29" s="404"/>
      <c r="F29" s="401" t="s">
        <v>214</v>
      </c>
      <c r="G29" s="375"/>
      <c r="H29" s="404"/>
      <c r="I29" s="122" t="s">
        <v>500</v>
      </c>
      <c r="J29" s="146">
        <v>5</v>
      </c>
      <c r="K29" s="401" t="s">
        <v>214</v>
      </c>
      <c r="L29" s="375"/>
      <c r="M29" s="404"/>
      <c r="N29" s="410" t="s">
        <v>214</v>
      </c>
      <c r="O29" s="650"/>
      <c r="P29" s="649" t="s">
        <v>483</v>
      </c>
      <c r="Q29" s="410">
        <v>4</v>
      </c>
      <c r="R29" s="410" t="s">
        <v>214</v>
      </c>
    </row>
    <row r="30" spans="1:18" x14ac:dyDescent="0.3">
      <c r="A30" s="405"/>
      <c r="B30" s="418"/>
      <c r="C30" s="407"/>
      <c r="D30" s="402"/>
      <c r="E30" s="403"/>
      <c r="F30" s="402"/>
      <c r="G30" s="322"/>
      <c r="H30" s="403"/>
      <c r="I30" s="160" t="s">
        <v>501</v>
      </c>
      <c r="J30" s="137">
        <v>0.1</v>
      </c>
      <c r="K30" s="402"/>
      <c r="L30" s="322"/>
      <c r="M30" s="403"/>
      <c r="N30" s="411"/>
      <c r="O30" s="652"/>
      <c r="P30" s="594"/>
      <c r="Q30" s="411"/>
      <c r="R30" s="411"/>
    </row>
    <row r="31" spans="1:18" x14ac:dyDescent="0.3">
      <c r="B31" s="150"/>
      <c r="C31" s="152" t="s">
        <v>484</v>
      </c>
      <c r="D31" s="437" t="s">
        <v>214</v>
      </c>
      <c r="E31" s="439"/>
      <c r="F31" s="437" t="s">
        <v>214</v>
      </c>
      <c r="G31" s="438"/>
      <c r="H31" s="439"/>
      <c r="I31" s="160" t="s">
        <v>502</v>
      </c>
      <c r="J31" s="148">
        <v>2</v>
      </c>
      <c r="K31" s="437" t="s">
        <v>214</v>
      </c>
      <c r="L31" s="438"/>
      <c r="M31" s="439"/>
      <c r="N31" s="53" t="s">
        <v>214</v>
      </c>
      <c r="O31" s="154"/>
      <c r="P31" s="152" t="s">
        <v>484</v>
      </c>
      <c r="Q31" s="53">
        <v>3</v>
      </c>
      <c r="R31" s="53" t="s">
        <v>214</v>
      </c>
    </row>
    <row r="32" spans="1:18" x14ac:dyDescent="0.3">
      <c r="B32" s="83"/>
      <c r="C32" s="152" t="s">
        <v>485</v>
      </c>
      <c r="D32" s="437" t="s">
        <v>214</v>
      </c>
      <c r="E32" s="439"/>
      <c r="F32" s="437" t="s">
        <v>214</v>
      </c>
      <c r="G32" s="438"/>
      <c r="H32" s="439"/>
      <c r="I32" s="154" t="s">
        <v>503</v>
      </c>
      <c r="J32" s="161">
        <v>0.5</v>
      </c>
      <c r="K32" s="437" t="s">
        <v>214</v>
      </c>
      <c r="L32" s="438"/>
      <c r="M32" s="439"/>
      <c r="N32" s="53" t="s">
        <v>214</v>
      </c>
      <c r="O32" s="122"/>
      <c r="P32" s="120" t="s">
        <v>485</v>
      </c>
      <c r="Q32" s="53">
        <v>3</v>
      </c>
      <c r="R32" s="53" t="s">
        <v>214</v>
      </c>
    </row>
    <row r="33" spans="1:18" ht="14.4" customHeight="1" x14ac:dyDescent="0.3">
      <c r="A33" s="405"/>
      <c r="B33" s="401"/>
      <c r="C33" s="400" t="s">
        <v>486</v>
      </c>
      <c r="D33" s="401" t="s">
        <v>214</v>
      </c>
      <c r="E33" s="404"/>
      <c r="F33" s="401" t="s">
        <v>214</v>
      </c>
      <c r="G33" s="375"/>
      <c r="H33" s="404"/>
      <c r="I33" s="122" t="s">
        <v>503</v>
      </c>
      <c r="J33" s="134">
        <v>0.25</v>
      </c>
      <c r="K33" s="637" t="s">
        <v>214</v>
      </c>
      <c r="L33" s="638"/>
      <c r="M33" s="639"/>
      <c r="N33" s="682" t="s">
        <v>214</v>
      </c>
      <c r="O33" s="135"/>
      <c r="P33" s="649" t="s">
        <v>492</v>
      </c>
      <c r="Q33" s="404" t="s">
        <v>316</v>
      </c>
      <c r="R33" s="681" t="s">
        <v>436</v>
      </c>
    </row>
    <row r="34" spans="1:18" x14ac:dyDescent="0.3">
      <c r="A34" s="405"/>
      <c r="B34" s="398"/>
      <c r="C34" s="409"/>
      <c r="D34" s="398"/>
      <c r="E34" s="405"/>
      <c r="F34" s="398"/>
      <c r="G34" s="372"/>
      <c r="H34" s="405"/>
      <c r="I34" s="123" t="s">
        <v>501</v>
      </c>
      <c r="J34" s="162">
        <v>-0.1</v>
      </c>
      <c r="K34" s="640"/>
      <c r="L34" s="641"/>
      <c r="M34" s="642"/>
      <c r="N34" s="683"/>
      <c r="O34" s="69"/>
      <c r="P34" s="592"/>
      <c r="Q34" s="405"/>
      <c r="R34" s="685"/>
    </row>
    <row r="35" spans="1:18" x14ac:dyDescent="0.3">
      <c r="A35" s="405"/>
      <c r="B35" s="398"/>
      <c r="C35" s="409"/>
      <c r="D35" s="398"/>
      <c r="E35" s="405"/>
      <c r="F35" s="398"/>
      <c r="G35" s="372"/>
      <c r="H35" s="405"/>
      <c r="I35" s="123" t="s">
        <v>504</v>
      </c>
      <c r="J35" s="163">
        <v>1</v>
      </c>
      <c r="K35" s="640"/>
      <c r="L35" s="641"/>
      <c r="M35" s="642"/>
      <c r="N35" s="683"/>
      <c r="O35" s="69"/>
      <c r="P35" s="592" t="s">
        <v>493</v>
      </c>
      <c r="Q35" s="405"/>
      <c r="R35" s="685"/>
    </row>
    <row r="36" spans="1:18" x14ac:dyDescent="0.3">
      <c r="A36" s="405"/>
      <c r="B36" s="402"/>
      <c r="C36" s="407"/>
      <c r="D36" s="402"/>
      <c r="E36" s="403"/>
      <c r="F36" s="402"/>
      <c r="G36" s="322"/>
      <c r="H36" s="403"/>
      <c r="I36" s="402"/>
      <c r="J36" s="403"/>
      <c r="K36" s="643"/>
      <c r="L36" s="644"/>
      <c r="M36" s="645"/>
      <c r="N36" s="684"/>
      <c r="O36" s="138"/>
      <c r="P36" s="594"/>
      <c r="Q36" s="403"/>
      <c r="R36" s="685"/>
    </row>
    <row r="37" spans="1:18" x14ac:dyDescent="0.3">
      <c r="A37" s="405"/>
      <c r="B37" s="401"/>
      <c r="C37" s="400" t="s">
        <v>487</v>
      </c>
      <c r="D37" s="401" t="s">
        <v>214</v>
      </c>
      <c r="E37" s="404"/>
      <c r="F37" s="401" t="s">
        <v>214</v>
      </c>
      <c r="G37" s="375"/>
      <c r="H37" s="404"/>
      <c r="I37" s="401"/>
      <c r="J37" s="404"/>
      <c r="K37" s="637" t="s">
        <v>214</v>
      </c>
      <c r="L37" s="638"/>
      <c r="M37" s="639"/>
      <c r="N37" s="682" t="s">
        <v>214</v>
      </c>
      <c r="O37" s="129"/>
      <c r="P37" s="649" t="s">
        <v>494</v>
      </c>
      <c r="Q37" s="404" t="s">
        <v>316</v>
      </c>
      <c r="R37" s="685"/>
    </row>
    <row r="38" spans="1:18" x14ac:dyDescent="0.3">
      <c r="A38" s="405"/>
      <c r="B38" s="398"/>
      <c r="C38" s="409"/>
      <c r="D38" s="398"/>
      <c r="E38" s="405"/>
      <c r="F38" s="398"/>
      <c r="G38" s="372"/>
      <c r="H38" s="405"/>
      <c r="I38" s="164" t="s">
        <v>501</v>
      </c>
      <c r="J38" s="165">
        <v>0.3</v>
      </c>
      <c r="K38" s="640"/>
      <c r="L38" s="641"/>
      <c r="M38" s="642"/>
      <c r="N38" s="683"/>
      <c r="O38" s="132"/>
      <c r="P38" s="592"/>
      <c r="Q38" s="405"/>
      <c r="R38" s="685"/>
    </row>
    <row r="39" spans="1:18" ht="14.4" customHeight="1" x14ac:dyDescent="0.3">
      <c r="A39" s="405"/>
      <c r="B39" s="398"/>
      <c r="C39" s="409"/>
      <c r="D39" s="398"/>
      <c r="E39" s="405"/>
      <c r="F39" s="398"/>
      <c r="G39" s="372"/>
      <c r="H39" s="405"/>
      <c r="I39" s="166" t="s">
        <v>504</v>
      </c>
      <c r="J39" s="167">
        <v>1</v>
      </c>
      <c r="K39" s="640"/>
      <c r="L39" s="641"/>
      <c r="M39" s="642"/>
      <c r="N39" s="683"/>
      <c r="O39" s="398"/>
      <c r="P39" s="592" t="s">
        <v>495</v>
      </c>
      <c r="Q39" s="405"/>
      <c r="R39" s="685"/>
    </row>
    <row r="40" spans="1:18" x14ac:dyDescent="0.3">
      <c r="A40" s="405"/>
      <c r="B40" s="402"/>
      <c r="C40" s="407"/>
      <c r="D40" s="402"/>
      <c r="E40" s="403"/>
      <c r="F40" s="402"/>
      <c r="G40" s="322"/>
      <c r="H40" s="403"/>
      <c r="I40" s="630"/>
      <c r="J40" s="631"/>
      <c r="K40" s="643"/>
      <c r="L40" s="644"/>
      <c r="M40" s="645"/>
      <c r="N40" s="684"/>
      <c r="O40" s="402"/>
      <c r="P40" s="594"/>
      <c r="Q40" s="403"/>
      <c r="R40" s="686"/>
    </row>
    <row r="41" spans="1:18" x14ac:dyDescent="0.3">
      <c r="A41" s="405"/>
      <c r="B41" s="412"/>
      <c r="C41" s="400" t="s">
        <v>488</v>
      </c>
      <c r="D41" s="401" t="s">
        <v>214</v>
      </c>
      <c r="E41" s="404"/>
      <c r="F41" s="401" t="s">
        <v>214</v>
      </c>
      <c r="G41" s="375"/>
      <c r="H41" s="404"/>
      <c r="I41" s="122" t="s">
        <v>505</v>
      </c>
      <c r="J41" s="146">
        <v>1</v>
      </c>
      <c r="K41" s="401" t="s">
        <v>214</v>
      </c>
      <c r="L41" s="375"/>
      <c r="M41" s="404"/>
      <c r="N41" s="410" t="s">
        <v>214</v>
      </c>
      <c r="O41" s="401"/>
      <c r="P41" s="400" t="s">
        <v>488</v>
      </c>
      <c r="Q41" s="410">
        <v>2</v>
      </c>
      <c r="R41" s="681" t="s">
        <v>444</v>
      </c>
    </row>
    <row r="42" spans="1:18" x14ac:dyDescent="0.3">
      <c r="A42" s="405"/>
      <c r="B42" s="414"/>
      <c r="C42" s="409"/>
      <c r="D42" s="398"/>
      <c r="E42" s="405"/>
      <c r="F42" s="398"/>
      <c r="G42" s="372"/>
      <c r="H42" s="405"/>
      <c r="I42" s="123" t="s">
        <v>506</v>
      </c>
      <c r="J42" s="143">
        <v>1</v>
      </c>
      <c r="K42" s="398"/>
      <c r="L42" s="372"/>
      <c r="M42" s="405"/>
      <c r="N42" s="498"/>
      <c r="O42" s="398"/>
      <c r="P42" s="409"/>
      <c r="Q42" s="498"/>
      <c r="R42" s="498"/>
    </row>
    <row r="43" spans="1:18" x14ac:dyDescent="0.3">
      <c r="A43" s="405"/>
      <c r="B43" s="418"/>
      <c r="C43" s="407"/>
      <c r="D43" s="402"/>
      <c r="E43" s="403"/>
      <c r="F43" s="402"/>
      <c r="G43" s="322"/>
      <c r="H43" s="403"/>
      <c r="I43" s="160" t="s">
        <v>507</v>
      </c>
      <c r="J43" s="148">
        <v>1</v>
      </c>
      <c r="K43" s="402"/>
      <c r="L43" s="322"/>
      <c r="M43" s="403"/>
      <c r="N43" s="411"/>
      <c r="O43" s="402"/>
      <c r="P43" s="407"/>
      <c r="Q43" s="411"/>
      <c r="R43" s="498"/>
    </row>
    <row r="44" spans="1:18" x14ac:dyDescent="0.3">
      <c r="A44" s="405"/>
      <c r="B44" s="412"/>
      <c r="C44" s="400" t="s">
        <v>489</v>
      </c>
      <c r="D44" s="401" t="s">
        <v>214</v>
      </c>
      <c r="E44" s="404"/>
      <c r="F44" s="401" t="s">
        <v>214</v>
      </c>
      <c r="G44" s="375"/>
      <c r="H44" s="404"/>
      <c r="I44" s="122" t="s">
        <v>505</v>
      </c>
      <c r="J44" s="146">
        <v>1</v>
      </c>
      <c r="K44" s="401" t="s">
        <v>214</v>
      </c>
      <c r="L44" s="375"/>
      <c r="M44" s="404"/>
      <c r="N44" s="410" t="s">
        <v>214</v>
      </c>
      <c r="O44" s="401"/>
      <c r="P44" s="400" t="s">
        <v>489</v>
      </c>
      <c r="Q44" s="410">
        <v>2</v>
      </c>
      <c r="R44" s="498"/>
    </row>
    <row r="45" spans="1:18" x14ac:dyDescent="0.3">
      <c r="A45" s="405"/>
      <c r="B45" s="414"/>
      <c r="C45" s="409"/>
      <c r="D45" s="398"/>
      <c r="E45" s="405"/>
      <c r="F45" s="398"/>
      <c r="G45" s="372"/>
      <c r="H45" s="405"/>
      <c r="I45" s="123" t="s">
        <v>506</v>
      </c>
      <c r="J45" s="143">
        <v>1</v>
      </c>
      <c r="K45" s="398"/>
      <c r="L45" s="372"/>
      <c r="M45" s="405"/>
      <c r="N45" s="498"/>
      <c r="O45" s="398"/>
      <c r="P45" s="409"/>
      <c r="Q45" s="498"/>
      <c r="R45" s="498"/>
    </row>
    <row r="46" spans="1:18" x14ac:dyDescent="0.3">
      <c r="A46" s="405"/>
      <c r="B46" s="414"/>
      <c r="C46" s="409"/>
      <c r="D46" s="398"/>
      <c r="E46" s="405"/>
      <c r="F46" s="398"/>
      <c r="G46" s="372"/>
      <c r="H46" s="405"/>
      <c r="I46" s="123" t="s">
        <v>507</v>
      </c>
      <c r="J46" s="143">
        <v>1</v>
      </c>
      <c r="K46" s="398"/>
      <c r="L46" s="372"/>
      <c r="M46" s="405"/>
      <c r="N46" s="498"/>
      <c r="O46" s="398"/>
      <c r="P46" s="409"/>
      <c r="Q46" s="498"/>
      <c r="R46" s="498"/>
    </row>
    <row r="47" spans="1:18" x14ac:dyDescent="0.3">
      <c r="A47" s="405"/>
      <c r="B47" s="414"/>
      <c r="C47" s="409"/>
      <c r="D47" s="398"/>
      <c r="E47" s="405"/>
      <c r="F47" s="398"/>
      <c r="G47" s="372"/>
      <c r="H47" s="405"/>
      <c r="I47" s="123" t="s">
        <v>499</v>
      </c>
      <c r="J47" s="143">
        <v>1</v>
      </c>
      <c r="K47" s="398"/>
      <c r="L47" s="372"/>
      <c r="M47" s="405"/>
      <c r="N47" s="498"/>
      <c r="O47" s="398"/>
      <c r="P47" s="409"/>
      <c r="Q47" s="498"/>
      <c r="R47" s="498"/>
    </row>
    <row r="48" spans="1:18" x14ac:dyDescent="0.3">
      <c r="A48" s="405"/>
      <c r="B48" s="414"/>
      <c r="C48" s="409"/>
      <c r="D48" s="398"/>
      <c r="E48" s="405"/>
      <c r="F48" s="398"/>
      <c r="G48" s="372"/>
      <c r="H48" s="405"/>
      <c r="I48" s="123" t="s">
        <v>508</v>
      </c>
      <c r="J48" s="143">
        <v>1</v>
      </c>
      <c r="K48" s="398"/>
      <c r="L48" s="372"/>
      <c r="M48" s="405"/>
      <c r="N48" s="498"/>
      <c r="O48" s="398"/>
      <c r="P48" s="409"/>
      <c r="Q48" s="498"/>
      <c r="R48" s="498"/>
    </row>
    <row r="49" spans="1:18" x14ac:dyDescent="0.3">
      <c r="A49" s="405"/>
      <c r="B49" s="418"/>
      <c r="C49" s="407"/>
      <c r="D49" s="402"/>
      <c r="E49" s="403"/>
      <c r="F49" s="402"/>
      <c r="G49" s="322"/>
      <c r="H49" s="403"/>
      <c r="I49" s="160" t="s">
        <v>502</v>
      </c>
      <c r="J49" s="148">
        <v>1</v>
      </c>
      <c r="K49" s="402"/>
      <c r="L49" s="322"/>
      <c r="M49" s="403"/>
      <c r="N49" s="411"/>
      <c r="O49" s="402"/>
      <c r="P49" s="407"/>
      <c r="Q49" s="411"/>
      <c r="R49" s="411"/>
    </row>
  </sheetData>
  <sheetProtection sheet="1" objects="1" scenarios="1"/>
  <mergeCells count="215">
    <mergeCell ref="C44:C49"/>
    <mergeCell ref="B44:B49"/>
    <mergeCell ref="O44:O49"/>
    <mergeCell ref="N44:N49"/>
    <mergeCell ref="K44:M49"/>
    <mergeCell ref="F44:H49"/>
    <mergeCell ref="D44:E49"/>
    <mergeCell ref="K37:M40"/>
    <mergeCell ref="C41:C43"/>
    <mergeCell ref="B41:B43"/>
    <mergeCell ref="D41:E43"/>
    <mergeCell ref="F41:H43"/>
    <mergeCell ref="K41:M43"/>
    <mergeCell ref="N41:N43"/>
    <mergeCell ref="B25:B27"/>
    <mergeCell ref="R29:R30"/>
    <mergeCell ref="N29:N30"/>
    <mergeCell ref="K29:M30"/>
    <mergeCell ref="F29:H30"/>
    <mergeCell ref="F31:H31"/>
    <mergeCell ref="R33:R40"/>
    <mergeCell ref="P33:P34"/>
    <mergeCell ref="P35:P36"/>
    <mergeCell ref="P39:P40"/>
    <mergeCell ref="O39:O40"/>
    <mergeCell ref="F33:H36"/>
    <mergeCell ref="D33:E36"/>
    <mergeCell ref="K33:M36"/>
    <mergeCell ref="N33:N36"/>
    <mergeCell ref="Q41:Q43"/>
    <mergeCell ref="N25:N27"/>
    <mergeCell ref="Q37:Q40"/>
    <mergeCell ref="P37:P38"/>
    <mergeCell ref="Q33:Q36"/>
    <mergeCell ref="K31:M31"/>
    <mergeCell ref="Q29:Q30"/>
    <mergeCell ref="R25:R27"/>
    <mergeCell ref="C25:C27"/>
    <mergeCell ref="R21:R24"/>
    <mergeCell ref="O21:O24"/>
    <mergeCell ref="N37:N40"/>
    <mergeCell ref="R41:R49"/>
    <mergeCell ref="Q44:Q49"/>
    <mergeCell ref="P44:P49"/>
    <mergeCell ref="B17:B18"/>
    <mergeCell ref="C17:C18"/>
    <mergeCell ref="D17:D18"/>
    <mergeCell ref="E17:E18"/>
    <mergeCell ref="B19:B20"/>
    <mergeCell ref="B21:B24"/>
    <mergeCell ref="N19:N20"/>
    <mergeCell ref="K19:M20"/>
    <mergeCell ref="C19:C20"/>
    <mergeCell ref="N17:N18"/>
    <mergeCell ref="E19:E20"/>
    <mergeCell ref="K32:M32"/>
    <mergeCell ref="F32:H32"/>
    <mergeCell ref="D32:E32"/>
    <mergeCell ref="O29:O30"/>
    <mergeCell ref="P29:P30"/>
    <mergeCell ref="P41:P43"/>
    <mergeCell ref="O41:O43"/>
    <mergeCell ref="G15:G16"/>
    <mergeCell ref="F15:F16"/>
    <mergeCell ref="C13:C14"/>
    <mergeCell ref="D13:D14"/>
    <mergeCell ref="E13:E14"/>
    <mergeCell ref="B15:B16"/>
    <mergeCell ref="C15:C16"/>
    <mergeCell ref="D15:D16"/>
    <mergeCell ref="E15:E16"/>
    <mergeCell ref="R4:R12"/>
    <mergeCell ref="R13:R20"/>
    <mergeCell ref="R2:R3"/>
    <mergeCell ref="Q17:Q18"/>
    <mergeCell ref="Q15:Q16"/>
    <mergeCell ref="Q13:Q14"/>
    <mergeCell ref="O13:O14"/>
    <mergeCell ref="P13:P14"/>
    <mergeCell ref="O19:O20"/>
    <mergeCell ref="P19:P20"/>
    <mergeCell ref="O6:O8"/>
    <mergeCell ref="P6:P8"/>
    <mergeCell ref="O4:O5"/>
    <mergeCell ref="P4:P5"/>
    <mergeCell ref="O15:O16"/>
    <mergeCell ref="P15:P16"/>
    <mergeCell ref="O17:O18"/>
    <mergeCell ref="P17:P18"/>
    <mergeCell ref="Q19:Q20"/>
    <mergeCell ref="Q11:Q12"/>
    <mergeCell ref="O11:O12"/>
    <mergeCell ref="P11:P12"/>
    <mergeCell ref="O9:O10"/>
    <mergeCell ref="P9:P10"/>
    <mergeCell ref="N13:N14"/>
    <mergeCell ref="N15:N16"/>
    <mergeCell ref="Q2:Q3"/>
    <mergeCell ref="O2:P3"/>
    <mergeCell ref="A19:A20"/>
    <mergeCell ref="B13:B14"/>
    <mergeCell ref="D11:D12"/>
    <mergeCell ref="E11:E12"/>
    <mergeCell ref="B9:B10"/>
    <mergeCell ref="C9:C10"/>
    <mergeCell ref="D9:D10"/>
    <mergeCell ref="E9:E10"/>
    <mergeCell ref="B11:B12"/>
    <mergeCell ref="C11:C12"/>
    <mergeCell ref="A13:A14"/>
    <mergeCell ref="A15:A16"/>
    <mergeCell ref="A17:A18"/>
    <mergeCell ref="B6:B8"/>
    <mergeCell ref="C6:C8"/>
    <mergeCell ref="D6:D8"/>
    <mergeCell ref="E6:E8"/>
    <mergeCell ref="K4:K5"/>
    <mergeCell ref="L4:L5"/>
    <mergeCell ref="D4:D5"/>
    <mergeCell ref="O1:P1"/>
    <mergeCell ref="K1:M1"/>
    <mergeCell ref="B1:C1"/>
    <mergeCell ref="D1:E1"/>
    <mergeCell ref="F1:H1"/>
    <mergeCell ref="I1:J1"/>
    <mergeCell ref="C4:C5"/>
    <mergeCell ref="B4:B5"/>
    <mergeCell ref="E4:E5"/>
    <mergeCell ref="N2:N3"/>
    <mergeCell ref="I11:J12"/>
    <mergeCell ref="I9:J10"/>
    <mergeCell ref="I6:J8"/>
    <mergeCell ref="I4:J5"/>
    <mergeCell ref="K11:K12"/>
    <mergeCell ref="L11:L12"/>
    <mergeCell ref="M11:M12"/>
    <mergeCell ref="N11:N12"/>
    <mergeCell ref="M9:M10"/>
    <mergeCell ref="N9:N10"/>
    <mergeCell ref="N6:N8"/>
    <mergeCell ref="M4:M5"/>
    <mergeCell ref="K6:K8"/>
    <mergeCell ref="L6:L8"/>
    <mergeCell ref="H15:H16"/>
    <mergeCell ref="D21:E24"/>
    <mergeCell ref="A2:A3"/>
    <mergeCell ref="I3:J3"/>
    <mergeCell ref="K3:M3"/>
    <mergeCell ref="I19:J20"/>
    <mergeCell ref="K15:M16"/>
    <mergeCell ref="K17:M18"/>
    <mergeCell ref="I13:J14"/>
    <mergeCell ref="I15:J16"/>
    <mergeCell ref="I17:J18"/>
    <mergeCell ref="D2:M2"/>
    <mergeCell ref="D3:E3"/>
    <mergeCell ref="F3:H3"/>
    <mergeCell ref="B2:C3"/>
    <mergeCell ref="M6:M8"/>
    <mergeCell ref="K9:K10"/>
    <mergeCell ref="L9:L10"/>
    <mergeCell ref="K13:M14"/>
    <mergeCell ref="A4:A5"/>
    <mergeCell ref="A6:A8"/>
    <mergeCell ref="A9:A10"/>
    <mergeCell ref="A11:A12"/>
    <mergeCell ref="D19:D20"/>
    <mergeCell ref="Q4:Q5"/>
    <mergeCell ref="F28:H28"/>
    <mergeCell ref="K28:M28"/>
    <mergeCell ref="N4:N5"/>
    <mergeCell ref="I21:J24"/>
    <mergeCell ref="K21:M24"/>
    <mergeCell ref="N21:N24"/>
    <mergeCell ref="Q21:Q24"/>
    <mergeCell ref="P21:P24"/>
    <mergeCell ref="I25:J27"/>
    <mergeCell ref="F4:F5"/>
    <mergeCell ref="K25:M27"/>
    <mergeCell ref="Q25:Q27"/>
    <mergeCell ref="P25:P27"/>
    <mergeCell ref="O25:O27"/>
    <mergeCell ref="F9:F10"/>
    <mergeCell ref="F11:F12"/>
    <mergeCell ref="F13:F14"/>
    <mergeCell ref="F17:F18"/>
    <mergeCell ref="F19:F20"/>
    <mergeCell ref="F21:F24"/>
    <mergeCell ref="Q6:Q8"/>
    <mergeCell ref="F6:F8"/>
    <mergeCell ref="Q9:Q10"/>
    <mergeCell ref="A21:A24"/>
    <mergeCell ref="A33:A36"/>
    <mergeCell ref="A37:A40"/>
    <mergeCell ref="A41:A43"/>
    <mergeCell ref="A44:A49"/>
    <mergeCell ref="A25:A27"/>
    <mergeCell ref="A29:A30"/>
    <mergeCell ref="I36:J36"/>
    <mergeCell ref="I40:J40"/>
    <mergeCell ref="I37:J37"/>
    <mergeCell ref="F25:F27"/>
    <mergeCell ref="D28:E28"/>
    <mergeCell ref="C33:C36"/>
    <mergeCell ref="B33:B36"/>
    <mergeCell ref="C21:C24"/>
    <mergeCell ref="F37:H40"/>
    <mergeCell ref="D37:E40"/>
    <mergeCell ref="C37:C40"/>
    <mergeCell ref="B37:B40"/>
    <mergeCell ref="D25:E27"/>
    <mergeCell ref="D29:E30"/>
    <mergeCell ref="D31:E31"/>
    <mergeCell ref="C29:C30"/>
    <mergeCell ref="B29:B30"/>
  </mergeCells>
  <conditionalFormatting sqref="H4:H20">
    <cfRule type="cellIs" dxfId="80" priority="3" operator="lessThan">
      <formula>0</formula>
    </cfRule>
  </conditionalFormatting>
  <conditionalFormatting sqref="H21">
    <cfRule type="cellIs" dxfId="79" priority="2" operator="lessThan">
      <formula>0</formula>
    </cfRule>
  </conditionalFormatting>
  <conditionalFormatting sqref="H25:H27">
    <cfRule type="cellIs" dxfId="78" priority="1" operator="lessThan">
      <formula>0</formula>
    </cfRule>
  </conditionalFormatting>
  <dataValidations count="7">
    <dataValidation allowBlank="1" showInputMessage="1" showErrorMessage="1" prompt="аэротеургия" sqref="P4:P5 P13:P14 P29 P25"/>
    <dataValidation allowBlank="1" showInputMessage="1" showErrorMessage="1" prompt="геомантия" sqref="P6:P8 P15:P16"/>
    <dataValidation allowBlank="1" showInputMessage="1" showErrorMessage="1" prompt="гидрософистика" sqref="P9:P10 P17:P18 P28"/>
    <dataValidation allowBlank="1" showInputMessage="1" showErrorMessage="1" prompt="пирокинетика" sqref="P11:P12 P19:P20 R4:R12 P31"/>
    <dataValidation allowBlank="1" showInputMessage="1" showErrorMessage="1" prompt="колдовство" sqref="P21:P24 P32"/>
    <dataValidation allowBlank="1" showInputMessage="1" showErrorMessage="1" prompt="опытный стрелок" sqref="P33 P37:P38"/>
    <dataValidation allowBlank="1" showInputMessage="1" showErrorMessage="1" prompt="ополченец" sqref="P35:P36 P39:P40 P41:P43 P44:P49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2.77734375" style="114" customWidth="1"/>
    <col min="2" max="2" width="2.6640625" style="114" customWidth="1"/>
    <col min="3" max="3" width="37.88671875" style="108" customWidth="1"/>
    <col min="4" max="4" width="2.6640625" style="108" customWidth="1"/>
    <col min="5" max="5" width="16.109375" style="108" customWidth="1"/>
    <col min="6" max="6" width="6.33203125" style="114" customWidth="1"/>
    <col min="7" max="7" width="23.44140625" style="108" customWidth="1"/>
    <col min="8" max="8" width="6.33203125" style="108" customWidth="1"/>
    <col min="9" max="9" width="2.6640625" style="108" customWidth="1"/>
    <col min="10" max="10" width="24.77734375" style="108" customWidth="1"/>
    <col min="11" max="11" width="8.77734375" style="108" customWidth="1"/>
    <col min="12" max="12" width="19.33203125" style="108" customWidth="1"/>
    <col min="13" max="16384" width="8.88671875" style="114"/>
  </cols>
  <sheetData>
    <row r="1" spans="1:12" x14ac:dyDescent="0.3">
      <c r="B1" s="322"/>
      <c r="C1" s="322"/>
      <c r="D1" s="322"/>
      <c r="E1" s="322"/>
      <c r="F1" s="322"/>
      <c r="G1" s="322"/>
      <c r="H1" s="322"/>
      <c r="I1" s="322"/>
      <c r="J1" s="322"/>
    </row>
    <row r="2" spans="1:12" x14ac:dyDescent="0.3">
      <c r="A2" s="374"/>
      <c r="B2" s="416" t="s">
        <v>351</v>
      </c>
      <c r="C2" s="416"/>
      <c r="D2" s="437" t="s">
        <v>352</v>
      </c>
      <c r="E2" s="438"/>
      <c r="F2" s="438"/>
      <c r="G2" s="438"/>
      <c r="H2" s="438"/>
      <c r="I2" s="416" t="s">
        <v>353</v>
      </c>
      <c r="J2" s="416"/>
      <c r="K2" s="417" t="s">
        <v>193</v>
      </c>
      <c r="L2" s="410" t="s">
        <v>388</v>
      </c>
    </row>
    <row r="3" spans="1:12" x14ac:dyDescent="0.3">
      <c r="A3" s="374"/>
      <c r="B3" s="416"/>
      <c r="C3" s="416"/>
      <c r="D3" s="416" t="s">
        <v>446</v>
      </c>
      <c r="E3" s="416"/>
      <c r="F3" s="416"/>
      <c r="G3" s="416" t="s">
        <v>372</v>
      </c>
      <c r="H3" s="416"/>
      <c r="I3" s="416"/>
      <c r="J3" s="416"/>
      <c r="K3" s="416"/>
      <c r="L3" s="411"/>
    </row>
    <row r="4" spans="1:12" s="108" customFormat="1" x14ac:dyDescent="0.3">
      <c r="A4" s="405"/>
      <c r="B4" s="412"/>
      <c r="C4" s="400" t="s">
        <v>510</v>
      </c>
      <c r="D4" s="648"/>
      <c r="E4" s="158" t="s">
        <v>394</v>
      </c>
      <c r="F4" s="134">
        <v>-0.5</v>
      </c>
      <c r="G4" s="122" t="s">
        <v>427</v>
      </c>
      <c r="H4" s="146">
        <v>-2</v>
      </c>
      <c r="I4" s="412"/>
      <c r="J4" s="400" t="s">
        <v>510</v>
      </c>
      <c r="K4" s="410">
        <v>1</v>
      </c>
      <c r="L4" s="410" t="s">
        <v>214</v>
      </c>
    </row>
    <row r="5" spans="1:12" s="108" customFormat="1" x14ac:dyDescent="0.3">
      <c r="A5" s="405"/>
      <c r="B5" s="414"/>
      <c r="C5" s="409"/>
      <c r="D5" s="531"/>
      <c r="E5" s="66" t="s">
        <v>393</v>
      </c>
      <c r="F5" s="136">
        <v>-0.5</v>
      </c>
      <c r="G5" s="123" t="s">
        <v>430</v>
      </c>
      <c r="H5" s="143">
        <v>-5</v>
      </c>
      <c r="I5" s="414"/>
      <c r="J5" s="409"/>
      <c r="K5" s="498"/>
      <c r="L5" s="498"/>
    </row>
    <row r="6" spans="1:12" s="108" customFormat="1" x14ac:dyDescent="0.3">
      <c r="A6" s="405"/>
      <c r="B6" s="414"/>
      <c r="C6" s="409"/>
      <c r="D6" s="531"/>
      <c r="E6" s="66" t="s">
        <v>391</v>
      </c>
      <c r="F6" s="136">
        <v>-0.5</v>
      </c>
      <c r="G6" s="123" t="s">
        <v>431</v>
      </c>
      <c r="H6" s="143">
        <v>-5</v>
      </c>
      <c r="I6" s="414"/>
      <c r="J6" s="409"/>
      <c r="K6" s="498"/>
      <c r="L6" s="498"/>
    </row>
    <row r="7" spans="1:12" s="108" customFormat="1" x14ac:dyDescent="0.3">
      <c r="A7" s="405"/>
      <c r="B7" s="414"/>
      <c r="C7" s="409"/>
      <c r="D7" s="531"/>
      <c r="E7" s="66" t="s">
        <v>390</v>
      </c>
      <c r="F7" s="136">
        <v>-0.5</v>
      </c>
      <c r="G7" s="123" t="s">
        <v>432</v>
      </c>
      <c r="H7" s="125">
        <v>-5</v>
      </c>
      <c r="I7" s="414"/>
      <c r="J7" s="409"/>
      <c r="K7" s="498"/>
      <c r="L7" s="498"/>
    </row>
    <row r="8" spans="1:12" x14ac:dyDescent="0.3">
      <c r="A8" s="405"/>
      <c r="B8" s="414"/>
      <c r="C8" s="409"/>
      <c r="D8" s="531"/>
      <c r="E8" s="124" t="s">
        <v>392</v>
      </c>
      <c r="F8" s="136">
        <v>-0.5</v>
      </c>
      <c r="G8" s="123" t="s">
        <v>428</v>
      </c>
      <c r="H8" s="125">
        <v>-5</v>
      </c>
      <c r="I8" s="414"/>
      <c r="J8" s="409"/>
      <c r="K8" s="498"/>
      <c r="L8" s="498"/>
    </row>
    <row r="9" spans="1:12" x14ac:dyDescent="0.3">
      <c r="A9" s="405"/>
      <c r="B9" s="414"/>
      <c r="C9" s="409"/>
      <c r="D9" s="531"/>
      <c r="E9" s="124" t="s">
        <v>514</v>
      </c>
      <c r="F9" s="136">
        <v>-0.2</v>
      </c>
      <c r="G9" s="123" t="s">
        <v>429</v>
      </c>
      <c r="H9" s="125">
        <v>-5</v>
      </c>
      <c r="I9" s="414"/>
      <c r="J9" s="409"/>
      <c r="K9" s="498"/>
      <c r="L9" s="498"/>
    </row>
    <row r="10" spans="1:12" x14ac:dyDescent="0.3">
      <c r="A10" s="405"/>
      <c r="B10" s="414"/>
      <c r="C10" s="409"/>
      <c r="D10" s="531"/>
      <c r="E10" s="124" t="s">
        <v>496</v>
      </c>
      <c r="F10" s="136">
        <v>-0.5</v>
      </c>
      <c r="G10" s="123" t="s">
        <v>11</v>
      </c>
      <c r="H10" s="125">
        <v>-0.5</v>
      </c>
      <c r="I10" s="414"/>
      <c r="J10" s="409"/>
      <c r="K10" s="498"/>
      <c r="L10" s="498"/>
    </row>
    <row r="11" spans="1:12" x14ac:dyDescent="0.3">
      <c r="A11" s="405"/>
      <c r="B11" s="414"/>
      <c r="C11" s="409"/>
      <c r="D11" s="531"/>
      <c r="E11" s="124" t="s">
        <v>497</v>
      </c>
      <c r="F11" s="136">
        <v>-0.5</v>
      </c>
      <c r="G11" s="123" t="s">
        <v>12</v>
      </c>
      <c r="H11" s="125">
        <v>-0.5</v>
      </c>
      <c r="I11" s="414"/>
      <c r="J11" s="409"/>
      <c r="K11" s="498"/>
      <c r="L11" s="498"/>
    </row>
    <row r="12" spans="1:12" x14ac:dyDescent="0.3">
      <c r="A12" s="405"/>
      <c r="B12" s="414"/>
      <c r="C12" s="409"/>
      <c r="D12" s="531"/>
      <c r="E12" s="124" t="s">
        <v>498</v>
      </c>
      <c r="F12" s="136">
        <v>-0.5</v>
      </c>
      <c r="G12" s="123" t="s">
        <v>110</v>
      </c>
      <c r="H12" s="136">
        <v>-0.1</v>
      </c>
      <c r="I12" s="414"/>
      <c r="J12" s="409"/>
      <c r="K12" s="498"/>
      <c r="L12" s="498"/>
    </row>
    <row r="13" spans="1:12" x14ac:dyDescent="0.3">
      <c r="A13" s="405"/>
      <c r="B13" s="418"/>
      <c r="C13" s="407"/>
      <c r="D13" s="402"/>
      <c r="E13" s="322"/>
      <c r="F13" s="403"/>
      <c r="G13" s="160" t="s">
        <v>415</v>
      </c>
      <c r="H13" s="137">
        <v>-0.25</v>
      </c>
      <c r="I13" s="418"/>
      <c r="J13" s="407"/>
      <c r="K13" s="411"/>
      <c r="L13" s="411"/>
    </row>
    <row r="14" spans="1:12" x14ac:dyDescent="0.3">
      <c r="A14" s="405"/>
      <c r="B14" s="412"/>
      <c r="C14" s="400" t="s">
        <v>512</v>
      </c>
      <c r="D14" s="648"/>
      <c r="E14" s="158" t="s">
        <v>394</v>
      </c>
      <c r="F14" s="134">
        <v>-0.2</v>
      </c>
      <c r="G14" s="401" t="s">
        <v>214</v>
      </c>
      <c r="H14" s="404"/>
      <c r="I14" s="421"/>
      <c r="J14" s="400" t="s">
        <v>516</v>
      </c>
      <c r="K14" s="410">
        <v>2</v>
      </c>
      <c r="L14" s="681" t="s">
        <v>445</v>
      </c>
    </row>
    <row r="15" spans="1:12" x14ac:dyDescent="0.3">
      <c r="A15" s="405"/>
      <c r="B15" s="414"/>
      <c r="C15" s="409"/>
      <c r="D15" s="531"/>
      <c r="E15" s="66" t="s">
        <v>393</v>
      </c>
      <c r="F15" s="136">
        <v>-0.2</v>
      </c>
      <c r="G15" s="398"/>
      <c r="H15" s="405"/>
      <c r="I15" s="422"/>
      <c r="J15" s="409"/>
      <c r="K15" s="498"/>
      <c r="L15" s="685"/>
    </row>
    <row r="16" spans="1:12" x14ac:dyDescent="0.3">
      <c r="A16" s="405"/>
      <c r="B16" s="414"/>
      <c r="C16" s="409"/>
      <c r="D16" s="531"/>
      <c r="E16" s="66" t="s">
        <v>391</v>
      </c>
      <c r="F16" s="136">
        <v>-0.2</v>
      </c>
      <c r="G16" s="398"/>
      <c r="H16" s="405"/>
      <c r="I16" s="422"/>
      <c r="J16" s="409"/>
      <c r="K16" s="498"/>
      <c r="L16" s="685"/>
    </row>
    <row r="17" spans="1:12" x14ac:dyDescent="0.3">
      <c r="A17" s="405"/>
      <c r="B17" s="414"/>
      <c r="C17" s="409"/>
      <c r="D17" s="531"/>
      <c r="E17" s="66" t="s">
        <v>390</v>
      </c>
      <c r="F17" s="136">
        <v>-0.2</v>
      </c>
      <c r="G17" s="398"/>
      <c r="H17" s="405"/>
      <c r="I17" s="422"/>
      <c r="J17" s="409"/>
      <c r="K17" s="498"/>
      <c r="L17" s="685"/>
    </row>
    <row r="18" spans="1:12" x14ac:dyDescent="0.3">
      <c r="A18" s="405"/>
      <c r="B18" s="418"/>
      <c r="C18" s="407"/>
      <c r="D18" s="534"/>
      <c r="E18" s="130" t="s">
        <v>392</v>
      </c>
      <c r="F18" s="137">
        <v>-0.2</v>
      </c>
      <c r="G18" s="402"/>
      <c r="H18" s="403"/>
      <c r="I18" s="423"/>
      <c r="J18" s="407"/>
      <c r="K18" s="411"/>
      <c r="L18" s="685"/>
    </row>
    <row r="19" spans="1:12" ht="14.4" customHeight="1" x14ac:dyDescent="0.3">
      <c r="A19" s="405"/>
      <c r="B19" s="412"/>
      <c r="C19" s="400" t="s">
        <v>513</v>
      </c>
      <c r="D19" s="648"/>
      <c r="E19" s="158" t="s">
        <v>394</v>
      </c>
      <c r="F19" s="134">
        <v>-0.5</v>
      </c>
      <c r="G19" s="401" t="s">
        <v>214</v>
      </c>
      <c r="H19" s="404"/>
      <c r="I19" s="421"/>
      <c r="J19" s="400" t="s">
        <v>517</v>
      </c>
      <c r="K19" s="410">
        <v>2</v>
      </c>
      <c r="L19" s="685"/>
    </row>
    <row r="20" spans="1:12" x14ac:dyDescent="0.3">
      <c r="A20" s="405"/>
      <c r="B20" s="414"/>
      <c r="C20" s="409"/>
      <c r="D20" s="531"/>
      <c r="E20" s="66" t="s">
        <v>393</v>
      </c>
      <c r="F20" s="136">
        <v>-0.5</v>
      </c>
      <c r="G20" s="398"/>
      <c r="H20" s="405"/>
      <c r="I20" s="422"/>
      <c r="J20" s="409"/>
      <c r="K20" s="498"/>
      <c r="L20" s="685"/>
    </row>
    <row r="21" spans="1:12" x14ac:dyDescent="0.3">
      <c r="A21" s="405"/>
      <c r="B21" s="414"/>
      <c r="C21" s="409"/>
      <c r="D21" s="531"/>
      <c r="E21" s="66" t="s">
        <v>391</v>
      </c>
      <c r="F21" s="136">
        <v>-0.5</v>
      </c>
      <c r="G21" s="398"/>
      <c r="H21" s="405"/>
      <c r="I21" s="422"/>
      <c r="J21" s="409"/>
      <c r="K21" s="498"/>
      <c r="L21" s="685"/>
    </row>
    <row r="22" spans="1:12" x14ac:dyDescent="0.3">
      <c r="A22" s="405"/>
      <c r="B22" s="414"/>
      <c r="C22" s="409"/>
      <c r="D22" s="531"/>
      <c r="E22" s="66" t="s">
        <v>390</v>
      </c>
      <c r="F22" s="136">
        <v>-0.5</v>
      </c>
      <c r="G22" s="398"/>
      <c r="H22" s="405"/>
      <c r="I22" s="422"/>
      <c r="J22" s="409"/>
      <c r="K22" s="498"/>
      <c r="L22" s="685"/>
    </row>
    <row r="23" spans="1:12" x14ac:dyDescent="0.3">
      <c r="A23" s="405"/>
      <c r="B23" s="414"/>
      <c r="C23" s="409"/>
      <c r="D23" s="531"/>
      <c r="E23" s="124" t="s">
        <v>392</v>
      </c>
      <c r="F23" s="136">
        <v>-0.5</v>
      </c>
      <c r="G23" s="398"/>
      <c r="H23" s="405"/>
      <c r="I23" s="422"/>
      <c r="J23" s="409"/>
      <c r="K23" s="498"/>
      <c r="L23" s="685"/>
    </row>
    <row r="24" spans="1:12" x14ac:dyDescent="0.3">
      <c r="A24" s="405"/>
      <c r="B24" s="414"/>
      <c r="C24" s="409"/>
      <c r="D24" s="531"/>
      <c r="E24" s="124" t="s">
        <v>514</v>
      </c>
      <c r="F24" s="136">
        <v>-0.2</v>
      </c>
      <c r="G24" s="398"/>
      <c r="H24" s="405"/>
      <c r="I24" s="422"/>
      <c r="J24" s="409"/>
      <c r="K24" s="498"/>
      <c r="L24" s="685"/>
    </row>
    <row r="25" spans="1:12" x14ac:dyDescent="0.3">
      <c r="A25" s="405"/>
      <c r="B25" s="414"/>
      <c r="C25" s="409"/>
      <c r="D25" s="531"/>
      <c r="E25" s="124" t="s">
        <v>496</v>
      </c>
      <c r="F25" s="136">
        <v>-0.5</v>
      </c>
      <c r="G25" s="398"/>
      <c r="H25" s="405"/>
      <c r="I25" s="422"/>
      <c r="J25" s="409"/>
      <c r="K25" s="498"/>
      <c r="L25" s="685"/>
    </row>
    <row r="26" spans="1:12" x14ac:dyDescent="0.3">
      <c r="A26" s="405"/>
      <c r="B26" s="414"/>
      <c r="C26" s="409"/>
      <c r="D26" s="531"/>
      <c r="E26" s="124" t="s">
        <v>497</v>
      </c>
      <c r="F26" s="136">
        <v>-0.5</v>
      </c>
      <c r="G26" s="398"/>
      <c r="H26" s="405"/>
      <c r="I26" s="422"/>
      <c r="J26" s="409"/>
      <c r="K26" s="498"/>
      <c r="L26" s="685"/>
    </row>
    <row r="27" spans="1:12" x14ac:dyDescent="0.3">
      <c r="A27" s="405"/>
      <c r="B27" s="418"/>
      <c r="C27" s="407"/>
      <c r="D27" s="534"/>
      <c r="E27" s="130" t="s">
        <v>498</v>
      </c>
      <c r="F27" s="137">
        <v>-0.5</v>
      </c>
      <c r="G27" s="402"/>
      <c r="H27" s="403"/>
      <c r="I27" s="423"/>
      <c r="J27" s="407"/>
      <c r="K27" s="411"/>
      <c r="L27" s="686"/>
    </row>
    <row r="28" spans="1:12" x14ac:dyDescent="0.3">
      <c r="B28" s="421"/>
      <c r="C28" s="400" t="s">
        <v>617</v>
      </c>
      <c r="D28" s="401" t="s">
        <v>214</v>
      </c>
      <c r="E28" s="689"/>
      <c r="F28" s="690"/>
      <c r="G28" s="300" t="s">
        <v>505</v>
      </c>
      <c r="H28" s="309">
        <v>-2</v>
      </c>
      <c r="I28" s="421"/>
      <c r="J28" s="400" t="s">
        <v>618</v>
      </c>
      <c r="K28" s="410">
        <v>2</v>
      </c>
      <c r="L28" s="410" t="s">
        <v>214</v>
      </c>
    </row>
    <row r="29" spans="1:12" x14ac:dyDescent="0.3">
      <c r="B29" s="624"/>
      <c r="C29" s="626"/>
      <c r="D29" s="691"/>
      <c r="E29" s="692"/>
      <c r="F29" s="693"/>
      <c r="G29" s="299" t="s">
        <v>506</v>
      </c>
      <c r="H29" s="310">
        <v>-2</v>
      </c>
      <c r="I29" s="624"/>
      <c r="J29" s="409"/>
      <c r="K29" s="687"/>
      <c r="L29" s="687"/>
    </row>
    <row r="30" spans="1:12" x14ac:dyDescent="0.3">
      <c r="B30" s="624"/>
      <c r="C30" s="626"/>
      <c r="D30" s="691"/>
      <c r="E30" s="692"/>
      <c r="F30" s="693"/>
      <c r="G30" s="299" t="s">
        <v>507</v>
      </c>
      <c r="H30" s="310">
        <v>-2</v>
      </c>
      <c r="I30" s="624"/>
      <c r="J30" s="409"/>
      <c r="K30" s="687"/>
      <c r="L30" s="687"/>
    </row>
    <row r="31" spans="1:12" x14ac:dyDescent="0.3">
      <c r="B31" s="624"/>
      <c r="C31" s="626"/>
      <c r="D31" s="691"/>
      <c r="E31" s="692"/>
      <c r="F31" s="693"/>
      <c r="G31" s="299" t="s">
        <v>499</v>
      </c>
      <c r="H31" s="310">
        <v>-2</v>
      </c>
      <c r="I31" s="624"/>
      <c r="J31" s="409"/>
      <c r="K31" s="687"/>
      <c r="L31" s="687"/>
    </row>
    <row r="32" spans="1:12" x14ac:dyDescent="0.3">
      <c r="B32" s="624"/>
      <c r="C32" s="626"/>
      <c r="D32" s="691"/>
      <c r="E32" s="692"/>
      <c r="F32" s="693"/>
      <c r="G32" s="299" t="s">
        <v>508</v>
      </c>
      <c r="H32" s="310">
        <v>-2</v>
      </c>
      <c r="I32" s="624"/>
      <c r="J32" s="409"/>
      <c r="K32" s="687"/>
      <c r="L32" s="687"/>
    </row>
    <row r="33" spans="2:12" x14ac:dyDescent="0.3">
      <c r="B33" s="623"/>
      <c r="C33" s="625"/>
      <c r="D33" s="694"/>
      <c r="E33" s="695"/>
      <c r="F33" s="696"/>
      <c r="G33" s="301" t="s">
        <v>502</v>
      </c>
      <c r="H33" s="311">
        <v>-2</v>
      </c>
      <c r="I33" s="623"/>
      <c r="J33" s="407"/>
      <c r="K33" s="688"/>
      <c r="L33" s="688"/>
    </row>
    <row r="34" spans="2:12" x14ac:dyDescent="0.3">
      <c r="B34" s="83"/>
      <c r="C34" s="152" t="s">
        <v>509</v>
      </c>
      <c r="D34" s="437" t="s">
        <v>214</v>
      </c>
      <c r="E34" s="438"/>
      <c r="F34" s="439"/>
      <c r="G34" s="154" t="s">
        <v>416</v>
      </c>
      <c r="H34" s="168">
        <v>-5</v>
      </c>
      <c r="I34" s="154"/>
      <c r="J34" s="152" t="s">
        <v>256</v>
      </c>
      <c r="K34" s="53">
        <v>2</v>
      </c>
      <c r="L34" s="53" t="s">
        <v>214</v>
      </c>
    </row>
    <row r="35" spans="2:12" x14ac:dyDescent="0.3">
      <c r="B35" s="421"/>
      <c r="C35" s="400" t="s">
        <v>511</v>
      </c>
      <c r="D35" s="401" t="s">
        <v>214</v>
      </c>
      <c r="E35" s="375"/>
      <c r="F35" s="404"/>
      <c r="G35" s="122" t="s">
        <v>416</v>
      </c>
      <c r="H35" s="169">
        <v>-2</v>
      </c>
      <c r="I35" s="36"/>
      <c r="J35" s="400" t="s">
        <v>515</v>
      </c>
      <c r="K35" s="410">
        <v>3</v>
      </c>
      <c r="L35" s="410" t="s">
        <v>214</v>
      </c>
    </row>
    <row r="36" spans="2:12" x14ac:dyDescent="0.3">
      <c r="B36" s="423"/>
      <c r="C36" s="407"/>
      <c r="D36" s="402"/>
      <c r="E36" s="322"/>
      <c r="F36" s="403"/>
      <c r="G36" s="160" t="s">
        <v>410</v>
      </c>
      <c r="H36" s="170">
        <v>-2</v>
      </c>
      <c r="I36" s="160"/>
      <c r="J36" s="407"/>
      <c r="K36" s="411"/>
      <c r="L36" s="411"/>
    </row>
    <row r="37" spans="2:12" s="297" customFormat="1" x14ac:dyDescent="0.3">
      <c r="B37" s="303"/>
      <c r="C37" s="302" t="s">
        <v>619</v>
      </c>
      <c r="D37" s="437" t="s">
        <v>214</v>
      </c>
      <c r="E37" s="438"/>
      <c r="F37" s="439"/>
      <c r="G37" s="154" t="s">
        <v>401</v>
      </c>
      <c r="H37" s="304">
        <v>-50</v>
      </c>
      <c r="I37" s="154"/>
      <c r="J37" s="302" t="s">
        <v>620</v>
      </c>
      <c r="K37" s="308">
        <v>2</v>
      </c>
      <c r="L37" s="308" t="s">
        <v>214</v>
      </c>
    </row>
    <row r="38" spans="2:12" x14ac:dyDescent="0.3">
      <c r="B38" s="303"/>
      <c r="C38" s="302" t="s">
        <v>609</v>
      </c>
      <c r="D38" s="437" t="s">
        <v>214</v>
      </c>
      <c r="E38" s="438"/>
      <c r="F38" s="439"/>
      <c r="G38" s="154" t="s">
        <v>0</v>
      </c>
      <c r="H38" s="304">
        <v>-3</v>
      </c>
      <c r="I38" s="154"/>
      <c r="J38" s="302" t="s">
        <v>610</v>
      </c>
      <c r="K38" s="308">
        <v>2</v>
      </c>
      <c r="L38" s="308" t="s">
        <v>214</v>
      </c>
    </row>
    <row r="39" spans="2:12" x14ac:dyDescent="0.3">
      <c r="B39" s="303"/>
      <c r="C39" s="302" t="s">
        <v>611</v>
      </c>
      <c r="D39" s="437" t="s">
        <v>214</v>
      </c>
      <c r="E39" s="438"/>
      <c r="F39" s="439"/>
      <c r="G39" s="154" t="s">
        <v>1</v>
      </c>
      <c r="H39" s="304">
        <v>-3</v>
      </c>
      <c r="I39" s="154"/>
      <c r="J39" s="302" t="s">
        <v>612</v>
      </c>
      <c r="K39" s="308">
        <v>2</v>
      </c>
      <c r="L39" s="308" t="s">
        <v>214</v>
      </c>
    </row>
    <row r="40" spans="2:12" s="297" customFormat="1" x14ac:dyDescent="0.3">
      <c r="B40" s="303"/>
      <c r="C40" s="302" t="s">
        <v>622</v>
      </c>
      <c r="D40" s="437" t="s">
        <v>214</v>
      </c>
      <c r="E40" s="438"/>
      <c r="F40" s="439"/>
      <c r="G40" s="154" t="s">
        <v>2</v>
      </c>
      <c r="H40" s="304">
        <v>-3</v>
      </c>
      <c r="I40" s="154"/>
      <c r="J40" s="302" t="s">
        <v>621</v>
      </c>
      <c r="K40" s="308">
        <v>2</v>
      </c>
      <c r="L40" s="308" t="s">
        <v>214</v>
      </c>
    </row>
    <row r="41" spans="2:12" x14ac:dyDescent="0.3">
      <c r="B41" s="303"/>
      <c r="C41" s="302" t="s">
        <v>614</v>
      </c>
      <c r="D41" s="437" t="s">
        <v>214</v>
      </c>
      <c r="E41" s="438"/>
      <c r="F41" s="439"/>
      <c r="G41" s="154" t="s">
        <v>3</v>
      </c>
      <c r="H41" s="304">
        <v>-3</v>
      </c>
      <c r="I41" s="154"/>
      <c r="J41" s="302" t="s">
        <v>613</v>
      </c>
      <c r="K41" s="308">
        <v>2</v>
      </c>
      <c r="L41" s="308" t="s">
        <v>214</v>
      </c>
    </row>
    <row r="42" spans="2:12" x14ac:dyDescent="0.3">
      <c r="B42" s="303"/>
      <c r="C42" s="302" t="s">
        <v>616</v>
      </c>
      <c r="D42" s="437" t="s">
        <v>214</v>
      </c>
      <c r="E42" s="438"/>
      <c r="F42" s="439"/>
      <c r="G42" s="154" t="s">
        <v>4</v>
      </c>
      <c r="H42" s="304">
        <v>-3</v>
      </c>
      <c r="I42" s="154"/>
      <c r="J42" s="302" t="s">
        <v>615</v>
      </c>
      <c r="K42" s="308">
        <v>2</v>
      </c>
      <c r="L42" s="308" t="s">
        <v>214</v>
      </c>
    </row>
  </sheetData>
  <sheetProtection sheet="1" objects="1" scenarios="1"/>
  <mergeCells count="57">
    <mergeCell ref="D41:F41"/>
    <mergeCell ref="D42:F42"/>
    <mergeCell ref="D37:F37"/>
    <mergeCell ref="C28:C33"/>
    <mergeCell ref="B28:B33"/>
    <mergeCell ref="D38:F38"/>
    <mergeCell ref="D39:F39"/>
    <mergeCell ref="D40:F40"/>
    <mergeCell ref="L35:L36"/>
    <mergeCell ref="D34:F34"/>
    <mergeCell ref="B14:B18"/>
    <mergeCell ref="B35:B36"/>
    <mergeCell ref="C35:C36"/>
    <mergeCell ref="K35:K36"/>
    <mergeCell ref="J35:J36"/>
    <mergeCell ref="D35:F36"/>
    <mergeCell ref="J28:J33"/>
    <mergeCell ref="I28:I33"/>
    <mergeCell ref="K28:K33"/>
    <mergeCell ref="L28:L33"/>
    <mergeCell ref="D28:F33"/>
    <mergeCell ref="L4:L13"/>
    <mergeCell ref="C19:C27"/>
    <mergeCell ref="G14:H18"/>
    <mergeCell ref="C14:C18"/>
    <mergeCell ref="D13:F13"/>
    <mergeCell ref="D4:D12"/>
    <mergeCell ref="K4:K13"/>
    <mergeCell ref="K19:K27"/>
    <mergeCell ref="K14:K18"/>
    <mergeCell ref="I19:I27"/>
    <mergeCell ref="D19:D27"/>
    <mergeCell ref="D14:D18"/>
    <mergeCell ref="J14:J18"/>
    <mergeCell ref="I14:I18"/>
    <mergeCell ref="L14:L27"/>
    <mergeCell ref="L2:L3"/>
    <mergeCell ref="D3:F3"/>
    <mergeCell ref="G3:H3"/>
    <mergeCell ref="K2:K3"/>
    <mergeCell ref="I2:J3"/>
    <mergeCell ref="A19:A27"/>
    <mergeCell ref="B1:C1"/>
    <mergeCell ref="B19:B27"/>
    <mergeCell ref="G19:H27"/>
    <mergeCell ref="J19:J27"/>
    <mergeCell ref="C4:C13"/>
    <mergeCell ref="A2:A3"/>
    <mergeCell ref="B2:C3"/>
    <mergeCell ref="A4:A13"/>
    <mergeCell ref="A14:A18"/>
    <mergeCell ref="J4:J13"/>
    <mergeCell ref="I4:I13"/>
    <mergeCell ref="I1:J1"/>
    <mergeCell ref="D2:H2"/>
    <mergeCell ref="D1:H1"/>
    <mergeCell ref="B4:B13"/>
  </mergeCells>
  <conditionalFormatting sqref="F4">
    <cfRule type="cellIs" dxfId="77" priority="13" operator="lessThan">
      <formula>0</formula>
    </cfRule>
  </conditionalFormatting>
  <conditionalFormatting sqref="F4:F12">
    <cfRule type="cellIs" dxfId="76" priority="12" operator="lessThan">
      <formula>0</formula>
    </cfRule>
  </conditionalFormatting>
  <conditionalFormatting sqref="H4:H13 H28:H42">
    <cfRule type="cellIs" dxfId="75" priority="9" operator="lessThan">
      <formula>0</formula>
    </cfRule>
  </conditionalFormatting>
  <conditionalFormatting sqref="H36">
    <cfRule type="cellIs" dxfId="74" priority="7" operator="lessThan">
      <formula>0</formula>
    </cfRule>
  </conditionalFormatting>
  <conditionalFormatting sqref="F14">
    <cfRule type="cellIs" dxfId="73" priority="6" operator="lessThan">
      <formula>0</formula>
    </cfRule>
  </conditionalFormatting>
  <conditionalFormatting sqref="F14:F18">
    <cfRule type="cellIs" dxfId="72" priority="5" operator="lessThan">
      <formula>0</formula>
    </cfRule>
  </conditionalFormatting>
  <conditionalFormatting sqref="F19">
    <cfRule type="cellIs" dxfId="71" priority="4" operator="lessThan">
      <formula>0</formula>
    </cfRule>
  </conditionalFormatting>
  <conditionalFormatting sqref="F19:F23">
    <cfRule type="cellIs" dxfId="70" priority="3" operator="lessThan">
      <formula>0</formula>
    </cfRule>
  </conditionalFormatting>
  <conditionalFormatting sqref="F24">
    <cfRule type="cellIs" dxfId="69" priority="2" operator="lessThan">
      <formula>0</formula>
    </cfRule>
  </conditionalFormatting>
  <conditionalFormatting sqref="F25:F27">
    <cfRule type="cellIs" dxfId="68" priority="1" operator="lessThan">
      <formula>0</formula>
    </cfRule>
  </conditionalFormatting>
  <dataValidations disablePrompts="1" count="2">
    <dataValidation allowBlank="1" showInputMessage="1" showErrorMessage="1" prompt="ополченец" sqref="J35 J14 J19"/>
    <dataValidation allowBlank="1" showInputMessage="1" showErrorMessage="1" prompt="колдовство" sqref="J4 J34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zoomScaleNormal="100" workbookViewId="0"/>
  </sheetViews>
  <sheetFormatPr defaultRowHeight="14.4" x14ac:dyDescent="0.3"/>
  <cols>
    <col min="1" max="1" width="2.77734375" style="36" customWidth="1"/>
    <col min="2" max="2" width="31.33203125" style="36" customWidth="1"/>
    <col min="3" max="3" width="2.6640625" style="36" customWidth="1"/>
    <col min="4" max="4" width="31.33203125" style="36" customWidth="1"/>
    <col min="5" max="5" width="5.33203125" style="36" customWidth="1"/>
    <col min="6" max="6" width="16.33203125" style="111" customWidth="1"/>
    <col min="7" max="7" width="2.77734375" style="111" customWidth="1"/>
    <col min="8" max="8" width="31.33203125" style="36" customWidth="1"/>
    <col min="9" max="9" width="5.33203125" style="36" customWidth="1"/>
    <col min="10" max="10" width="25.109375" style="36" customWidth="1"/>
    <col min="11" max="11" width="2.6640625" style="36" customWidth="1"/>
    <col min="12" max="12" width="31.33203125" style="36" customWidth="1"/>
    <col min="13" max="13" width="8.77734375" style="36" customWidth="1"/>
    <col min="14" max="14" width="8.88671875" style="36"/>
    <col min="15" max="36" width="8.88671875" style="1"/>
    <col min="37" max="37" width="30.77734375" style="36" customWidth="1"/>
    <col min="38" max="16384" width="8.88671875" style="36"/>
  </cols>
  <sheetData>
    <row r="1" spans="1:14" ht="15" thickBot="1" x14ac:dyDescent="0.35">
      <c r="D1" s="171"/>
      <c r="E1" s="171"/>
      <c r="L1" s="66"/>
    </row>
    <row r="2" spans="1:14" ht="15.6" thickTop="1" thickBot="1" x14ac:dyDescent="0.35">
      <c r="B2" s="113" t="s">
        <v>571</v>
      </c>
      <c r="C2" s="702"/>
      <c r="D2" s="703"/>
      <c r="E2" s="172"/>
      <c r="F2" s="701" t="s">
        <v>572</v>
      </c>
      <c r="G2" s="701"/>
      <c r="H2" s="701"/>
      <c r="J2" s="173" t="s">
        <v>573</v>
      </c>
      <c r="K2" s="698" t="str">
        <f>IFERROR(результат0,"-")</f>
        <v/>
      </c>
      <c r="L2" s="699"/>
    </row>
    <row r="3" spans="1:14" ht="15" thickTop="1" x14ac:dyDescent="0.3">
      <c r="C3" s="171"/>
      <c r="D3" s="171"/>
      <c r="E3" s="171"/>
      <c r="F3" s="173"/>
      <c r="G3" s="173"/>
      <c r="K3" s="66"/>
      <c r="L3" s="66"/>
    </row>
    <row r="4" spans="1:14" x14ac:dyDescent="0.3">
      <c r="A4" s="111"/>
      <c r="B4" s="111"/>
      <c r="C4" s="111"/>
    </row>
    <row r="5" spans="1:14" ht="15" thickBot="1" x14ac:dyDescent="0.35">
      <c r="C5" s="129"/>
      <c r="D5" s="174" t="str">
        <f>IF(OR(C2=Поверхности1!B11,C2=Поверхности1!B20,C2=Поверхности1!B21,C2=Поверхности1!B22),Поверхности1!E4,IF(OR(C2=Поверхности1!B10,C2=Поверхности1!B16),Поверхности1!E8,Поверхности1!E2))</f>
        <v>-</v>
      </c>
      <c r="E5" s="112"/>
      <c r="H5" s="175" t="str">
        <f>IF(OR(H6=Поверхности1!H2,H6=Поверхности1!H3,H6=Поверхности1!H4,H6=Поверхности1!H5,H6=Поверхности1!H6,H6=Поверхности1!H7,H6=Поверхности1!H8),"","Ошибка! Введено неверное значение в поле «Стихия»!")</f>
        <v/>
      </c>
      <c r="K5" s="129"/>
      <c r="L5" s="174" t="str">
        <f>IF(OR(K2=Поверхности1!B11,K2=Поверхности1!B20,K2=Поверхности1!B21,K2=Поверхности1!B22),Поверхности1!E4,IF(OR(K2=Поверхности1!B10,K2=Поверхности1!B16),Поверхности1!E8,Поверхности1!E2))</f>
        <v>-</v>
      </c>
      <c r="N5" s="176"/>
    </row>
    <row r="6" spans="1:14" ht="15.6" thickTop="1" thickBot="1" x14ac:dyDescent="0.35">
      <c r="B6" s="177" t="s">
        <v>574</v>
      </c>
      <c r="C6" s="132"/>
      <c r="D6" s="125" t="str">
        <f>IF(OR(C2=Поверхности1!B4,C2=Поверхности1!B7,C2=Поверхности1!B15,C2=Поверхности1!B18,C2=Поверхности1!B19,C2=Поверхности1!B20),Поверхности1!E7,IF(OR(C2=Поверхности1!B5,C2=Поверхности1!B8),Поверхности1!E9,IF(C2=Поверхности1!B9,Поверхности1!E4,IF(C2=Поверхности1!B22,Поверхности1!E8,IF(C2=Поверхности1!B11,Поверхности1!E10,IF(C2=Поверхности1!B12,Поверхности1!E5,IF(OR(C2=Поверхности1!B13,C2=Поверхности1!B21),Поверхности1!E6,IF(OR(C2=Поверхности1!B10,C2=Поверхности1!B16),Поверхности1!E3,Поверхности1!E2))))))))</f>
        <v>-</v>
      </c>
      <c r="E6" s="112"/>
      <c r="F6" s="177" t="s">
        <v>587</v>
      </c>
      <c r="H6" s="211"/>
      <c r="J6" s="177" t="s">
        <v>574</v>
      </c>
      <c r="K6" s="82"/>
      <c r="L6" s="125" t="str">
        <f>IF(OR(K2=Поверхности1!B4,K2=Поверхности1!B7,K2=Поверхности1!B15,K2=Поверхности1!B18,K2=Поверхности1!B19,K2=Поверхности1!B20),Поверхности1!E7,IF(OR(K2=Поверхности1!B5,K2=Поверхности1!B8),Поверхности1!E9,IF(K2=Поверхности1!B9,Поверхности1!E4,IF(K2=Поверхности1!B22,Поверхности1!E8,IF(K2=Поверхности1!B11,Поверхности1!E10,IF(K2=Поверхности1!B12,Поверхности1!E5,IF(OR(K2=Поверхности1!B13,K2=Поверхности1!B21,K2=Поверхности1!B24),Поверхности1!E6,IF(OR(K2=Поверхности1!B10,K2=Поверхности1!B16),Поверхности1!E3,Поверхности1!E2))))))))</f>
        <v>-</v>
      </c>
      <c r="N6" s="176"/>
    </row>
    <row r="7" spans="1:14" ht="15" thickTop="1" x14ac:dyDescent="0.3">
      <c r="C7" s="81"/>
      <c r="D7" s="149" t="str">
        <f>IF(C2=Поверхности1!B22,Поверхности1!E3,Поверхности1!E2)</f>
        <v>-</v>
      </c>
      <c r="E7" s="112"/>
      <c r="F7" s="178"/>
      <c r="G7" s="178"/>
      <c r="H7" s="179" t="s">
        <v>603</v>
      </c>
      <c r="I7" s="180"/>
      <c r="J7" s="180"/>
      <c r="K7" s="81"/>
      <c r="L7" s="149" t="str">
        <f>IF(K2=Поверхности1!B22,Поверхности1!E3,Поверхности1!E2)</f>
        <v>-</v>
      </c>
      <c r="N7" s="176"/>
    </row>
    <row r="8" spans="1:14" x14ac:dyDescent="0.3">
      <c r="D8" s="112"/>
      <c r="E8" s="112"/>
      <c r="F8" s="178"/>
      <c r="G8" s="178"/>
      <c r="H8" s="181"/>
      <c r="I8" s="180"/>
      <c r="J8" s="180"/>
      <c r="L8" s="112"/>
      <c r="N8" s="176"/>
    </row>
    <row r="9" spans="1:14" x14ac:dyDescent="0.3">
      <c r="H9" s="175" t="str">
        <f>IF(COUNTIF(Поверхности1!E13:E22,Поверхности!H10)&gt;0,"","Ошибка! Введено неверное значение в поле «Способность»!")</f>
        <v/>
      </c>
      <c r="N9" s="176"/>
    </row>
    <row r="10" spans="1:14" x14ac:dyDescent="0.3">
      <c r="B10" s="700" t="s">
        <v>602</v>
      </c>
      <c r="C10" s="700"/>
      <c r="D10" s="700"/>
      <c r="F10" s="177" t="s">
        <v>588</v>
      </c>
      <c r="H10" s="212"/>
      <c r="J10" s="173" t="s">
        <v>598</v>
      </c>
      <c r="K10" s="437" t="str">
        <f>IFERROR(INDEX(Поверхности2!Y2:AE57,MATCH(Поверхности!H14,Поверхности2!A2:A58,0),MATCH(Поверхности!C2,Поверхности2!Y1:AE1,0)),"")</f>
        <v/>
      </c>
      <c r="L10" s="439"/>
      <c r="N10" s="176"/>
    </row>
    <row r="11" spans="1:14" x14ac:dyDescent="0.3">
      <c r="B11" s="182"/>
      <c r="C11" s="182"/>
      <c r="E11" s="177"/>
      <c r="F11" s="178"/>
      <c r="G11" s="178"/>
      <c r="H11" s="179" t="s">
        <v>604</v>
      </c>
      <c r="I11" s="180"/>
      <c r="K11" s="697" t="s">
        <v>599</v>
      </c>
      <c r="L11" s="697"/>
      <c r="N11" s="176"/>
    </row>
    <row r="12" spans="1:14" x14ac:dyDescent="0.3">
      <c r="A12" s="111"/>
      <c r="B12" s="183" t="str">
        <f>IF(C2=Поверхности3!A2,Поверхности3!B2,IF(C2=Поверхности3!A3,Поверхности3!B3,IF(C2=Поверхности3!A4,Поверхности3!B4,IF(C2=Поверхности3!A5,Поверхности3!B5,IF(C2=Поверхности3!A6,Поверхности3!B6,IF(C2=Поверхности3!A7,Поверхности3!B7,IF(C2=Поверхности3!A8,Поверхности3!B8,IF(C2=Поверхности3!A9,Поверхности3!B9,IF(C2=Поверхности3!A10,Поверхности3!B10,IF(C2=Поверхности3!A11,Поверхности3!B11,IF(C2=Поверхности3!A12,Поверхности3!B12,"")))))))))))</f>
        <v/>
      </c>
      <c r="C12" s="184" t="s">
        <v>316</v>
      </c>
      <c r="D12" s="185" t="str">
        <f>IF(C2=Поверхности3!A2,Поверхности3!C2,IF(C2=Поверхности3!A3,Поверхности3!C3,IF(C2=Поверхности3!A4,Поверхности3!C4,IF(C2=Поверхности3!A5,Поверхности3!C5,IF(C2=Поверхности3!A6,Поверхности3!C6,IF(C2=Поверхности3!A7,Поверхности3!C7,IF(C2=Поверхности3!A8,Поверхности3!C8,IF(C2=Поверхности3!A9,Поверхности3!C9,IF(C2=Поверхности3!A10,Поверхности3!C10,IF(C2=Поверхности3!A11,Поверхности3!C11,IF(C2=Поверхности3!A12,Поверхности3!C12,"")))))))))))</f>
        <v/>
      </c>
      <c r="H12" s="186" t="str">
        <f>IF(COUNTIF(Поверхности1!H2:H6,Поверхности!H6)&lt;1,"необходимо очистить поле «Способность» клавишей del или backspace","")</f>
        <v>необходимо очистить поле «Способность» клавишей del или backspace</v>
      </c>
      <c r="N12" s="176"/>
    </row>
    <row r="13" spans="1:14" x14ac:dyDescent="0.3">
      <c r="B13" s="187" t="str">
        <f>IF(C2=Поверхности3!A7,Поверхности3!D7,IF(C2=Поверхности3!A9,Поверхности3!D9,IF(C2=Поверхности3!A10,Поверхности3!D10,IF(C2=Поверхности3!A11,Поверхности3!D11,IF(C2=Поверхности3!A12,Поверхности3!D12,"")))))</f>
        <v/>
      </c>
      <c r="C13" s="188" t="s">
        <v>316</v>
      </c>
      <c r="D13" s="189" t="str">
        <f>IF(C2=Поверхности3!A7,Поверхности3!E7,IF(C2=Поверхности3!A9,Поверхности3!E9,IF(C2=Поверхности3!A10,Поверхности3!E10,IF(C2=Поверхности3!A11,Поверхности3!E11,IF(C2=Поверхности3!A12,Поверхности3!E12,"")))))</f>
        <v/>
      </c>
      <c r="E13" s="190"/>
      <c r="F13" s="36"/>
      <c r="G13" s="36"/>
      <c r="H13" s="175" t="str">
        <f>IF(COUNTIF(Поверхности1!E25:E83,Поверхности!H14)&gt;0,"","Ошибка! Введено неверное значение в поле «Навык»!")</f>
        <v/>
      </c>
      <c r="K13" s="129"/>
      <c r="L13" s="174" t="str">
        <f>IF(OR(K10=Поверхности1!B11,K10=Поверхности1!B20,K10=Поверхности1!B21,K10=Поверхности1!B22),Поверхности1!E4,Поверхности1!E2)</f>
        <v>-</v>
      </c>
      <c r="N13" s="176"/>
    </row>
    <row r="14" spans="1:14" x14ac:dyDescent="0.3">
      <c r="B14" s="187" t="str">
        <f>IF(C2=Поверхности3!A7,Поверхности3!F7,IF(C2=Поверхности3!A11,Поверхности3!F11,IF(C2=Поверхности3!A12,Поверхности3!F12,"")))</f>
        <v/>
      </c>
      <c r="C14" s="188" t="s">
        <v>316</v>
      </c>
      <c r="D14" s="189" t="str">
        <f>IF(C2=Поверхности3!A7,Поверхности3!G7,IF(C2=Поверхности3!A11,Поверхности3!G11,IF(C2=Поверхности3!A12,Поверхности3!G12,"")))</f>
        <v/>
      </c>
      <c r="E14" s="191"/>
      <c r="F14" s="177" t="s">
        <v>181</v>
      </c>
      <c r="H14" s="213"/>
      <c r="J14" s="192" t="s">
        <v>574</v>
      </c>
      <c r="L14" s="125" t="str">
        <f>IF(OR(K10=Поверхности1!B4,K10=Поверхности1!B7,K10=Поверхности1!B15,K10=Поверхности1!B18,K10=Поверхности1!B19,K10=Поверхности1!B20),Поверхности1!E7,IF(OR(K10=Поверхности1!B5,K10=Поверхности1!B8),Поверхности1!E9,IF(K10=Поверхности1!B9,Поверхности1!E4,IF(OR(K10=Поверхности1!B10,K10=Поверхности1!B16,K10=Поверхности1!B22),Поверхности1!E8,IF(K10=Поверхности1!B11,Поверхности1!E10,IF(K10=Поверхности1!B12,Поверхности1!E5,IF(OR(K10=Поверхности1!B13,K10=Поверхности1!B21),Поверхности1!E6,Поверхности1!E2)))))))</f>
        <v>-</v>
      </c>
      <c r="N14" s="176"/>
    </row>
    <row r="15" spans="1:14" x14ac:dyDescent="0.3">
      <c r="B15" s="187" t="str">
        <f>IF(C2=Поверхности3!A7,Поверхности3!H7,IF(C2=Поверхности3!A11,Поверхности3!H11,IF(C2=Поверхности3!A12,Поверхности3!H12,"")))</f>
        <v/>
      </c>
      <c r="C15" s="188" t="s">
        <v>316</v>
      </c>
      <c r="D15" s="189" t="str">
        <f>IF(C2=Поверхности3!A7,Поверхности3!I7,IF(C2=Поверхности3!A11,Поверхности3!I11,IF(C2=Поверхности3!A12,Поверхности3!I12,"")))</f>
        <v/>
      </c>
      <c r="E15" s="190"/>
      <c r="F15" s="193"/>
      <c r="G15" s="194"/>
      <c r="H15" s="195" t="str">
        <f>IF(OR(COUNTIF(Поверхности1!H2:H6,Поверхности!H6)&lt;1,COUNTIF(Поверхности1!E13:E20,Поверхности!H10)&lt;1),"необходимо очистить поле «Навык» клавишей del или backspace","")</f>
        <v>необходимо очистить поле «Навык» клавишей del или backspace</v>
      </c>
      <c r="I15" s="196"/>
      <c r="K15" s="81"/>
      <c r="L15" s="149" t="str">
        <f>IF(K10=Поверхности1!B22,Поверхности1!E3,Поверхности1!E2)</f>
        <v>-</v>
      </c>
      <c r="N15" s="176"/>
    </row>
    <row r="16" spans="1:14" x14ac:dyDescent="0.3">
      <c r="B16" s="187" t="str">
        <f>IF(C2=Поверхности3!A7,Поверхности3!J7,IF(C2=Поверхности3!A11,Поверхности3!J11,""))</f>
        <v/>
      </c>
      <c r="C16" s="188" t="s">
        <v>316</v>
      </c>
      <c r="D16" s="197" t="str">
        <f>IF(C2=Поверхности3!A7,Поверхности3!K7,IF(C2=Поверхности3!A11,Поверхности3!K11,""))</f>
        <v/>
      </c>
      <c r="E16" s="190"/>
      <c r="F16" s="179"/>
      <c r="N16" s="176"/>
    </row>
    <row r="17" spans="1:36" x14ac:dyDescent="0.3">
      <c r="B17" s="187" t="str">
        <f>IF(C2=Поверхности3!A11,Поверхности3!L11,"")</f>
        <v/>
      </c>
      <c r="C17" s="188" t="s">
        <v>316</v>
      </c>
      <c r="D17" s="189" t="str">
        <f>IF(C2=Поверхности3!A11,Поверхности3!M11,"")</f>
        <v/>
      </c>
      <c r="G17" s="198"/>
      <c r="H17" s="198"/>
      <c r="J17" s="199" t="str">
        <f>IF(L17=Поверхности3!H15,Поверхности3!F15,"")</f>
        <v/>
      </c>
      <c r="K17" s="200"/>
      <c r="L17" s="201" t="str">
        <f>IF(OR(C2="",C2=0),"",Поверхности3!B17)</f>
        <v/>
      </c>
      <c r="N17" s="176"/>
    </row>
    <row r="18" spans="1:36" x14ac:dyDescent="0.3">
      <c r="A18" s="112"/>
      <c r="B18" s="202" t="str">
        <f>IF(C2=Поверхности3!A11,Поверхности3!N11,"")</f>
        <v/>
      </c>
      <c r="C18" s="203" t="s">
        <v>316</v>
      </c>
      <c r="D18" s="204" t="str">
        <f>IF(C2=Поверхности3!A11,Поверхности3!O11,"")</f>
        <v/>
      </c>
      <c r="E18" s="112"/>
      <c r="H18" s="396" t="s">
        <v>601</v>
      </c>
      <c r="J18" s="205" t="str">
        <f>IF(L18=Поверхности3!H16,Поверхности3!F16,"")</f>
        <v/>
      </c>
      <c r="L18" s="206" t="str">
        <f>IF(OR(C2="Лава",C2="",C2=0),"",Поверхности3!C17)</f>
        <v/>
      </c>
      <c r="N18" s="176"/>
    </row>
    <row r="19" spans="1:36" x14ac:dyDescent="0.3">
      <c r="A19" s="111"/>
      <c r="H19" s="396"/>
      <c r="J19" s="205" t="str">
        <f ca="1">IF(Поверхности!L19=Поверхности3!H17,Поверхности3!F17,IF(OR(Поверхности!L19=Поверхности3!H19,Поверхности!L19=Поверхности3!H20),Поверхности3!F19,""))</f>
        <v/>
      </c>
      <c r="L19" s="206" t="str">
        <f ca="1">OFFSET(Поверхности3!A15,MATCH(Поверхности!C2,Поверхности3!A15:A37,0)-1,3,1)</f>
        <v/>
      </c>
      <c r="N19" s="176"/>
    </row>
    <row r="20" spans="1:36" x14ac:dyDescent="0.3">
      <c r="J20" s="207" t="str">
        <f>IF(L20=Поверхности3!H18,Поверхности3!F18,"")</f>
        <v/>
      </c>
      <c r="K20" s="208"/>
      <c r="L20" s="209" t="str">
        <f>IF(C2="Вода под током",Поверхности3!E17,"")</f>
        <v/>
      </c>
      <c r="N20" s="176"/>
    </row>
    <row r="21" spans="1:36" x14ac:dyDescent="0.3">
      <c r="N21" s="176"/>
    </row>
    <row r="22" spans="1:36" x14ac:dyDescent="0.3">
      <c r="H22" s="210"/>
      <c r="K22" s="176"/>
      <c r="L22" s="1"/>
      <c r="M22" s="1"/>
      <c r="N22" s="1"/>
      <c r="AH22" s="36"/>
      <c r="AI22" s="36"/>
      <c r="AJ22" s="36"/>
    </row>
    <row r="23" spans="1:36" x14ac:dyDescent="0.3">
      <c r="I23" s="1"/>
      <c r="L23" s="1"/>
      <c r="M23" s="1"/>
      <c r="N23" s="1"/>
      <c r="AH23" s="36"/>
      <c r="AI23" s="36"/>
      <c r="AJ23" s="36"/>
    </row>
    <row r="24" spans="1:36" x14ac:dyDescent="0.3">
      <c r="L24" s="1"/>
      <c r="M24" s="1"/>
      <c r="N24" s="1"/>
      <c r="AH24" s="36"/>
      <c r="AI24" s="36"/>
      <c r="AJ24" s="36"/>
    </row>
    <row r="25" spans="1:36" x14ac:dyDescent="0.3">
      <c r="C25" s="111"/>
      <c r="D25" s="111"/>
      <c r="F25" s="36"/>
      <c r="G25" s="36"/>
      <c r="J25" s="1"/>
      <c r="K25" s="1"/>
      <c r="L25" s="1"/>
      <c r="M25" s="1"/>
      <c r="N25" s="1"/>
      <c r="AE25" s="36"/>
      <c r="AF25" s="36"/>
      <c r="AG25" s="36"/>
      <c r="AH25" s="36"/>
      <c r="AI25" s="36"/>
      <c r="AJ25" s="36"/>
    </row>
    <row r="26" spans="1:36" x14ac:dyDescent="0.3">
      <c r="C26" s="111"/>
      <c r="D26" s="111"/>
      <c r="F26" s="36"/>
      <c r="G26" s="36"/>
      <c r="J26" s="1"/>
      <c r="K26" s="1"/>
      <c r="L26" s="1"/>
      <c r="M26" s="1"/>
      <c r="N26" s="1"/>
      <c r="AE26" s="36"/>
      <c r="AF26" s="36"/>
      <c r="AG26" s="36"/>
      <c r="AH26" s="36"/>
      <c r="AI26" s="36"/>
      <c r="AJ26" s="36"/>
    </row>
    <row r="27" spans="1:36" x14ac:dyDescent="0.3">
      <c r="C27" s="111"/>
      <c r="D27" s="111"/>
      <c r="F27" s="36"/>
      <c r="G27" s="36"/>
      <c r="I27" s="1"/>
      <c r="J27" s="1"/>
      <c r="K27" s="1"/>
      <c r="L27" s="1"/>
      <c r="M27" s="1"/>
      <c r="N27" s="1"/>
      <c r="AE27" s="36"/>
      <c r="AF27" s="36"/>
      <c r="AG27" s="36"/>
      <c r="AH27" s="36"/>
      <c r="AI27" s="36"/>
      <c r="AJ27" s="36"/>
    </row>
    <row r="28" spans="1:36" x14ac:dyDescent="0.3">
      <c r="L28" s="1"/>
      <c r="M28" s="1"/>
      <c r="N28" s="1"/>
      <c r="AH28" s="36"/>
      <c r="AI28" s="36"/>
      <c r="AJ28" s="36"/>
    </row>
    <row r="29" spans="1:36" x14ac:dyDescent="0.3">
      <c r="L29" s="1"/>
      <c r="M29" s="1"/>
      <c r="N29" s="1"/>
      <c r="AH29" s="36"/>
      <c r="AI29" s="36"/>
      <c r="AJ29" s="36"/>
    </row>
    <row r="30" spans="1:36" x14ac:dyDescent="0.3">
      <c r="L30" s="1"/>
      <c r="M30" s="1"/>
      <c r="N30" s="1"/>
      <c r="AH30" s="36"/>
      <c r="AI30" s="36"/>
      <c r="AJ30" s="36"/>
    </row>
    <row r="31" spans="1:36" x14ac:dyDescent="0.3">
      <c r="L31" s="1"/>
      <c r="M31" s="1"/>
      <c r="N31" s="1"/>
      <c r="AH31" s="36"/>
      <c r="AI31" s="36"/>
      <c r="AJ31" s="36"/>
    </row>
    <row r="32" spans="1:36" x14ac:dyDescent="0.3">
      <c r="L32" s="1"/>
      <c r="M32" s="1"/>
      <c r="N32" s="1"/>
      <c r="AH32" s="36"/>
      <c r="AI32" s="36"/>
      <c r="AJ32" s="36"/>
    </row>
  </sheetData>
  <sheetProtection sheet="1" objects="1" scenarios="1"/>
  <mergeCells count="7">
    <mergeCell ref="H18:H19"/>
    <mergeCell ref="K10:L10"/>
    <mergeCell ref="K11:L11"/>
    <mergeCell ref="K2:L2"/>
    <mergeCell ref="B10:D10"/>
    <mergeCell ref="F2:H2"/>
    <mergeCell ref="C2:D2"/>
  </mergeCells>
  <conditionalFormatting sqref="F7:J7">
    <cfRule type="expression" dxfId="67" priority="104">
      <formula>$H$10=""</formula>
    </cfRule>
  </conditionalFormatting>
  <conditionalFormatting sqref="F11:I11">
    <cfRule type="expression" dxfId="66" priority="105">
      <formula>$H$14=""</formula>
    </cfRule>
  </conditionalFormatting>
  <conditionalFormatting sqref="C12">
    <cfRule type="expression" dxfId="65" priority="14">
      <formula>$B$12=""</formula>
    </cfRule>
  </conditionalFormatting>
  <conditionalFormatting sqref="C13">
    <cfRule type="expression" dxfId="64" priority="13">
      <formula>$B$13=""</formula>
    </cfRule>
  </conditionalFormatting>
  <conditionalFormatting sqref="C14">
    <cfRule type="expression" dxfId="63" priority="12">
      <formula>$B$14=""</formula>
    </cfRule>
  </conditionalFormatting>
  <conditionalFormatting sqref="C15">
    <cfRule type="expression" dxfId="62" priority="11">
      <formula>$B$15=""</formula>
    </cfRule>
  </conditionalFormatting>
  <conditionalFormatting sqref="C16">
    <cfRule type="expression" dxfId="61" priority="10">
      <formula>$B$16=""</formula>
    </cfRule>
  </conditionalFormatting>
  <conditionalFormatting sqref="C17">
    <cfRule type="expression" dxfId="60" priority="9">
      <formula>$B$17=""</formula>
    </cfRule>
  </conditionalFormatting>
  <conditionalFormatting sqref="C18">
    <cfRule type="expression" dxfId="59" priority="8">
      <formula>$B$18=""</formula>
    </cfRule>
  </conditionalFormatting>
  <conditionalFormatting sqref="H15">
    <cfRule type="expression" dxfId="58" priority="6">
      <formula>OR($H$14=0,$H$14="")</formula>
    </cfRule>
  </conditionalFormatting>
  <conditionalFormatting sqref="H12">
    <cfRule type="expression" dxfId="57" priority="5">
      <formula>OR($H$10=0,$H$10="")</formula>
    </cfRule>
  </conditionalFormatting>
  <dataValidations count="2">
    <dataValidation type="list" allowBlank="1" showInputMessage="1" showErrorMessage="1" sqref="H14">
      <formula1>навык</formula1>
    </dataValidation>
    <dataValidation type="list" allowBlank="1" showInputMessage="1" showErrorMessage="1" sqref="H10">
      <formula1>IF($H$14="",способности,INDIRECT("Ошибка"))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необходимо очистить поле &quot;Способность&quot;">
          <x14:formula1>
            <xm:f>IF($H$10="",Поверхности1!$H$2:$H$7,INDIRECT("Ошибка"))</xm:f>
          </x14:formula1>
          <xm:sqref>H6</xm:sqref>
        </x14:dataValidation>
        <x14:dataValidation type="list" allowBlank="1" showInputMessage="1" showErrorMessage="1">
          <x14:formula1>
            <xm:f>Поверхности1!$B$2:$B$23</xm:f>
          </x14:formula1>
          <xm:sqref>C2:D2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3"/>
  <sheetViews>
    <sheetView workbookViewId="0"/>
  </sheetViews>
  <sheetFormatPr defaultRowHeight="14.4" x14ac:dyDescent="0.3"/>
  <cols>
    <col min="1" max="1" width="2.77734375" style="1" customWidth="1"/>
    <col min="2" max="2" width="34.44140625" style="36" customWidth="1"/>
    <col min="3" max="3" width="2.77734375" style="36" customWidth="1"/>
    <col min="4" max="4" width="2.6640625" style="36" customWidth="1"/>
    <col min="5" max="5" width="30.77734375" style="36" customWidth="1"/>
    <col min="6" max="6" width="2.77734375" style="36" customWidth="1"/>
    <col min="7" max="7" width="2.6640625" style="36" customWidth="1"/>
    <col min="8" max="8" width="10.77734375" style="36" customWidth="1"/>
    <col min="9" max="9" width="2.77734375" style="111" customWidth="1"/>
    <col min="10" max="10" width="2.77734375" style="36" customWidth="1"/>
    <col min="11" max="11" width="8.77734375" style="36" customWidth="1"/>
    <col min="12" max="12" width="22.109375" style="36" customWidth="1"/>
    <col min="13" max="13" width="2.6640625" style="36" customWidth="1"/>
    <col min="14" max="14" width="30.77734375" style="36" customWidth="1"/>
    <col min="15" max="15" width="2.77734375" style="36" customWidth="1"/>
    <col min="16" max="16" width="10.77734375" style="36" customWidth="1"/>
    <col min="17" max="17" width="22.109375" style="36" customWidth="1"/>
    <col min="18" max="18" width="2.77734375" style="36" customWidth="1"/>
    <col min="19" max="16384" width="8.88671875" style="1"/>
  </cols>
  <sheetData>
    <row r="1" spans="2:18" x14ac:dyDescent="0.3">
      <c r="B1" s="173" t="s">
        <v>577</v>
      </c>
      <c r="D1" s="701" t="s">
        <v>582</v>
      </c>
      <c r="E1" s="701"/>
      <c r="G1" s="701" t="s">
        <v>585</v>
      </c>
      <c r="H1" s="701"/>
      <c r="J1" s="173"/>
      <c r="K1" s="173"/>
      <c r="M1" s="198"/>
      <c r="N1" s="198"/>
      <c r="O1" s="173"/>
    </row>
    <row r="2" spans="2:18" x14ac:dyDescent="0.3">
      <c r="B2" s="13" t="s">
        <v>23</v>
      </c>
      <c r="E2" s="201" t="s">
        <v>214</v>
      </c>
      <c r="H2" s="201" t="s">
        <v>22</v>
      </c>
      <c r="J2" s="214"/>
      <c r="K2" s="215" t="s">
        <v>22</v>
      </c>
      <c r="L2" s="216" t="s">
        <v>591</v>
      </c>
      <c r="N2" s="217" t="s">
        <v>238</v>
      </c>
      <c r="O2" s="214"/>
      <c r="P2" s="80" t="s">
        <v>22</v>
      </c>
      <c r="Q2" s="218" t="s">
        <v>591</v>
      </c>
    </row>
    <row r="3" spans="2:18" x14ac:dyDescent="0.3">
      <c r="B3" s="19" t="s">
        <v>22</v>
      </c>
      <c r="E3" s="206" t="s">
        <v>584</v>
      </c>
      <c r="H3" s="206" t="s">
        <v>24</v>
      </c>
      <c r="J3" s="214"/>
      <c r="K3" s="219" t="s">
        <v>22</v>
      </c>
      <c r="L3" s="220" t="s">
        <v>591</v>
      </c>
      <c r="N3" s="221" t="s">
        <v>570</v>
      </c>
      <c r="O3" s="214"/>
      <c r="P3" s="82" t="s">
        <v>22</v>
      </c>
      <c r="Q3" s="222" t="s">
        <v>589</v>
      </c>
      <c r="R3" s="220"/>
    </row>
    <row r="4" spans="2:18" x14ac:dyDescent="0.3">
      <c r="B4" s="223" t="s">
        <v>545</v>
      </c>
      <c r="E4" s="206" t="s">
        <v>357</v>
      </c>
      <c r="H4" s="224" t="s">
        <v>21</v>
      </c>
      <c r="J4" s="214"/>
      <c r="K4" s="219" t="s">
        <v>22</v>
      </c>
      <c r="L4" s="220" t="s">
        <v>591</v>
      </c>
      <c r="N4" s="221" t="s">
        <v>245</v>
      </c>
      <c r="O4" s="214"/>
      <c r="P4" s="81" t="s">
        <v>22</v>
      </c>
      <c r="Q4" s="225" t="str">
        <f>""</f>
        <v/>
      </c>
      <c r="R4" s="220"/>
    </row>
    <row r="5" spans="2:18" x14ac:dyDescent="0.3">
      <c r="B5" s="223" t="s">
        <v>543</v>
      </c>
      <c r="C5" s="176"/>
      <c r="E5" s="84" t="s">
        <v>362</v>
      </c>
      <c r="H5" s="224" t="s">
        <v>26</v>
      </c>
      <c r="J5" s="214"/>
      <c r="K5" s="219" t="s">
        <v>22</v>
      </c>
      <c r="L5" s="220" t="s">
        <v>591</v>
      </c>
      <c r="N5" s="221" t="s">
        <v>232</v>
      </c>
      <c r="O5" s="214"/>
      <c r="P5" s="80" t="s">
        <v>24</v>
      </c>
      <c r="Q5" s="226" t="s">
        <v>592</v>
      </c>
      <c r="R5" s="220"/>
    </row>
    <row r="6" spans="2:18" x14ac:dyDescent="0.3">
      <c r="B6" s="223" t="s">
        <v>542</v>
      </c>
      <c r="C6" s="176"/>
      <c r="E6" s="84" t="s">
        <v>583</v>
      </c>
      <c r="H6" s="224" t="s">
        <v>586</v>
      </c>
      <c r="J6" s="214"/>
      <c r="K6" s="219" t="s">
        <v>22</v>
      </c>
      <c r="L6" s="220" t="s">
        <v>591</v>
      </c>
      <c r="N6" s="221" t="s">
        <v>547</v>
      </c>
      <c r="O6" s="214"/>
      <c r="P6" s="82" t="s">
        <v>24</v>
      </c>
      <c r="Q6" s="222" t="s">
        <v>590</v>
      </c>
    </row>
    <row r="7" spans="2:18" x14ac:dyDescent="0.3">
      <c r="B7" s="223" t="s">
        <v>546</v>
      </c>
      <c r="C7" s="176"/>
      <c r="E7" s="206" t="s">
        <v>162</v>
      </c>
      <c r="H7" s="206" t="str">
        <f>""</f>
        <v/>
      </c>
      <c r="J7" s="210"/>
      <c r="K7" s="219" t="s">
        <v>22</v>
      </c>
      <c r="L7" s="220" t="s">
        <v>591</v>
      </c>
      <c r="N7" s="221" t="s">
        <v>231</v>
      </c>
      <c r="O7" s="214"/>
      <c r="P7" s="82" t="s">
        <v>24</v>
      </c>
      <c r="Q7" s="222" t="s">
        <v>589</v>
      </c>
      <c r="R7" s="220"/>
    </row>
    <row r="8" spans="2:18" x14ac:dyDescent="0.3">
      <c r="B8" s="223" t="s">
        <v>578</v>
      </c>
      <c r="C8" s="176"/>
      <c r="E8" s="84" t="s">
        <v>370</v>
      </c>
      <c r="H8" s="227">
        <v>0</v>
      </c>
      <c r="K8" s="219" t="s">
        <v>22</v>
      </c>
      <c r="L8" s="220" t="s">
        <v>591</v>
      </c>
      <c r="N8" s="221" t="s">
        <v>237</v>
      </c>
      <c r="O8" s="214"/>
      <c r="P8" s="81" t="s">
        <v>24</v>
      </c>
      <c r="Q8" s="225" t="str">
        <f>""</f>
        <v/>
      </c>
      <c r="R8" s="220"/>
    </row>
    <row r="9" spans="2:18" x14ac:dyDescent="0.3">
      <c r="B9" s="223" t="s">
        <v>21</v>
      </c>
      <c r="C9" s="176"/>
      <c r="E9" s="206" t="s">
        <v>440</v>
      </c>
      <c r="H9" s="176"/>
      <c r="K9" s="219" t="s">
        <v>22</v>
      </c>
      <c r="L9" s="220" t="s">
        <v>591</v>
      </c>
      <c r="N9" s="221" t="s">
        <v>412</v>
      </c>
      <c r="O9" s="214"/>
      <c r="P9" s="80" t="s">
        <v>21</v>
      </c>
      <c r="Q9" s="217" t="s">
        <v>595</v>
      </c>
      <c r="R9" s="220"/>
    </row>
    <row r="10" spans="2:18" x14ac:dyDescent="0.3">
      <c r="B10" s="223" t="s">
        <v>544</v>
      </c>
      <c r="C10" s="176"/>
      <c r="E10" s="209" t="s">
        <v>415</v>
      </c>
      <c r="F10" s="228"/>
      <c r="G10" s="142"/>
      <c r="H10" s="176"/>
      <c r="K10" s="219" t="s">
        <v>22</v>
      </c>
      <c r="L10" s="220" t="s">
        <v>591</v>
      </c>
      <c r="N10" s="221" t="s">
        <v>548</v>
      </c>
      <c r="O10" s="210"/>
      <c r="P10" s="82" t="s">
        <v>21</v>
      </c>
      <c r="Q10" s="229" t="s">
        <v>593</v>
      </c>
    </row>
    <row r="11" spans="2:18" x14ac:dyDescent="0.3">
      <c r="B11" s="223" t="s">
        <v>369</v>
      </c>
      <c r="F11" s="228"/>
      <c r="G11" s="142"/>
      <c r="H11" s="176"/>
      <c r="K11" s="219" t="s">
        <v>22</v>
      </c>
      <c r="L11" s="220" t="s">
        <v>591</v>
      </c>
      <c r="N11" s="221" t="s">
        <v>244</v>
      </c>
      <c r="O11" s="214"/>
      <c r="P11" s="82" t="s">
        <v>21</v>
      </c>
      <c r="Q11" s="221" t="s">
        <v>594</v>
      </c>
      <c r="R11" s="220"/>
    </row>
    <row r="12" spans="2:18" x14ac:dyDescent="0.3">
      <c r="B12" s="223" t="s">
        <v>368</v>
      </c>
      <c r="F12" s="228"/>
      <c r="G12" s="142"/>
      <c r="H12" s="176"/>
      <c r="K12" s="219" t="s">
        <v>22</v>
      </c>
      <c r="L12" s="220" t="s">
        <v>591</v>
      </c>
      <c r="N12" s="221" t="str">
        <f>""</f>
        <v/>
      </c>
      <c r="O12" s="214"/>
      <c r="P12" s="82" t="s">
        <v>21</v>
      </c>
      <c r="Q12" s="222" t="s">
        <v>590</v>
      </c>
      <c r="R12" s="220"/>
    </row>
    <row r="13" spans="2:18" x14ac:dyDescent="0.3">
      <c r="B13" s="223" t="s">
        <v>563</v>
      </c>
      <c r="E13" s="14" t="s">
        <v>592</v>
      </c>
      <c r="H13" s="176"/>
      <c r="J13" s="176"/>
      <c r="K13" s="219" t="s">
        <v>22</v>
      </c>
      <c r="L13" s="36" t="s">
        <v>589</v>
      </c>
      <c r="N13" s="221" t="s">
        <v>552</v>
      </c>
      <c r="O13" s="214"/>
      <c r="P13" s="82" t="s">
        <v>21</v>
      </c>
      <c r="Q13" s="222" t="s">
        <v>589</v>
      </c>
      <c r="R13" s="220"/>
    </row>
    <row r="14" spans="2:18" x14ac:dyDescent="0.3">
      <c r="B14" s="223" t="s">
        <v>565</v>
      </c>
      <c r="E14" s="230" t="s">
        <v>596</v>
      </c>
      <c r="H14" s="176"/>
      <c r="J14" s="231"/>
      <c r="K14" s="219" t="s">
        <v>22</v>
      </c>
      <c r="L14" s="36" t="s">
        <v>589</v>
      </c>
      <c r="N14" s="221" t="s">
        <v>557</v>
      </c>
      <c r="O14" s="214"/>
      <c r="P14" s="81" t="s">
        <v>21</v>
      </c>
      <c r="Q14" s="225" t="str">
        <f>""</f>
        <v/>
      </c>
      <c r="R14" s="220"/>
    </row>
    <row r="15" spans="2:18" x14ac:dyDescent="0.3">
      <c r="B15" s="223" t="s">
        <v>562</v>
      </c>
      <c r="E15" s="232" t="s">
        <v>591</v>
      </c>
      <c r="J15" s="210"/>
      <c r="K15" s="219" t="s">
        <v>22</v>
      </c>
      <c r="L15" s="36" t="s">
        <v>589</v>
      </c>
      <c r="N15" s="222" t="s">
        <v>561</v>
      </c>
      <c r="O15" s="214"/>
      <c r="P15" s="80" t="s">
        <v>26</v>
      </c>
      <c r="Q15" s="217" t="s">
        <v>596</v>
      </c>
      <c r="R15" s="210"/>
    </row>
    <row r="16" spans="2:18" x14ac:dyDescent="0.3">
      <c r="B16" s="223" t="s">
        <v>564</v>
      </c>
      <c r="E16" s="233" t="s">
        <v>595</v>
      </c>
      <c r="H16" s="176"/>
      <c r="J16" s="210"/>
      <c r="K16" s="219" t="s">
        <v>22</v>
      </c>
      <c r="L16" s="36" t="s">
        <v>589</v>
      </c>
      <c r="N16" s="222" t="str">
        <f>""</f>
        <v/>
      </c>
      <c r="O16" s="214"/>
      <c r="P16" s="82" t="s">
        <v>26</v>
      </c>
      <c r="Q16" s="222" t="s">
        <v>589</v>
      </c>
      <c r="R16" s="210"/>
    </row>
    <row r="17" spans="2:18" x14ac:dyDescent="0.3">
      <c r="B17" s="223" t="s">
        <v>579</v>
      </c>
      <c r="E17" s="232" t="s">
        <v>593</v>
      </c>
      <c r="H17" s="176"/>
      <c r="J17" s="231"/>
      <c r="K17" s="234" t="s">
        <v>22</v>
      </c>
      <c r="L17" s="235" t="str">
        <f>""</f>
        <v/>
      </c>
      <c r="N17" s="236" t="str">
        <f>""</f>
        <v/>
      </c>
      <c r="O17" s="214"/>
      <c r="P17" s="81" t="s">
        <v>26</v>
      </c>
      <c r="Q17" s="225" t="str">
        <f>""</f>
        <v/>
      </c>
      <c r="R17" s="210"/>
    </row>
    <row r="18" spans="2:18" x14ac:dyDescent="0.3">
      <c r="B18" s="223" t="s">
        <v>597</v>
      </c>
      <c r="E18" s="230" t="s">
        <v>594</v>
      </c>
      <c r="K18" s="237" t="s">
        <v>24</v>
      </c>
      <c r="L18" s="238" t="s">
        <v>592</v>
      </c>
      <c r="M18" s="210"/>
      <c r="N18" s="217" t="s">
        <v>457</v>
      </c>
      <c r="O18" s="214"/>
      <c r="P18" s="82" t="s">
        <v>586</v>
      </c>
      <c r="Q18" s="221" t="s">
        <v>596</v>
      </c>
      <c r="R18" s="210"/>
    </row>
    <row r="19" spans="2:18" x14ac:dyDescent="0.3">
      <c r="B19" s="223" t="s">
        <v>580</v>
      </c>
      <c r="E19" s="20" t="s">
        <v>590</v>
      </c>
      <c r="H19" s="176"/>
      <c r="K19" s="239" t="s">
        <v>24</v>
      </c>
      <c r="L19" s="210" t="s">
        <v>592</v>
      </c>
      <c r="M19" s="210"/>
      <c r="N19" s="221" t="s">
        <v>455</v>
      </c>
      <c r="O19" s="214"/>
      <c r="P19" s="82" t="s">
        <v>586</v>
      </c>
      <c r="Q19" s="221" t="s">
        <v>595</v>
      </c>
      <c r="R19" s="210"/>
    </row>
    <row r="20" spans="2:18" x14ac:dyDescent="0.3">
      <c r="B20" s="223" t="s">
        <v>581</v>
      </c>
      <c r="E20" s="20" t="s">
        <v>589</v>
      </c>
      <c r="H20" s="176"/>
      <c r="I20" s="240"/>
      <c r="J20" s="214"/>
      <c r="K20" s="239" t="s">
        <v>24</v>
      </c>
      <c r="L20" s="210" t="s">
        <v>592</v>
      </c>
      <c r="M20" s="210"/>
      <c r="N20" s="221" t="s">
        <v>447</v>
      </c>
      <c r="O20" s="214"/>
      <c r="P20" s="82" t="s">
        <v>586</v>
      </c>
      <c r="Q20" s="229" t="s">
        <v>593</v>
      </c>
    </row>
    <row r="21" spans="2:18" x14ac:dyDescent="0.3">
      <c r="B21" s="223" t="s">
        <v>576</v>
      </c>
      <c r="E21" s="20" t="str">
        <f>""</f>
        <v/>
      </c>
      <c r="H21" s="176"/>
      <c r="I21" s="240"/>
      <c r="J21" s="124"/>
      <c r="K21" s="239" t="s">
        <v>24</v>
      </c>
      <c r="L21" s="210" t="s">
        <v>592</v>
      </c>
      <c r="M21" s="210"/>
      <c r="N21" s="221" t="s">
        <v>456</v>
      </c>
      <c r="O21" s="214"/>
      <c r="P21" s="82" t="s">
        <v>586</v>
      </c>
      <c r="Q21" s="221" t="s">
        <v>594</v>
      </c>
      <c r="R21" s="210"/>
    </row>
    <row r="22" spans="2:18" x14ac:dyDescent="0.3">
      <c r="B22" s="223" t="s">
        <v>575</v>
      </c>
      <c r="E22" s="241">
        <v>0</v>
      </c>
      <c r="J22" s="220"/>
      <c r="K22" s="239" t="s">
        <v>24</v>
      </c>
      <c r="L22" s="210" t="s">
        <v>592</v>
      </c>
      <c r="M22" s="210"/>
      <c r="N22" s="221" t="s">
        <v>215</v>
      </c>
      <c r="O22" s="214"/>
      <c r="P22" s="82" t="s">
        <v>586</v>
      </c>
      <c r="Q22" s="222" t="s">
        <v>589</v>
      </c>
    </row>
    <row r="23" spans="2:18" x14ac:dyDescent="0.3">
      <c r="B23" s="242" t="str">
        <f>""</f>
        <v/>
      </c>
      <c r="J23" s="214"/>
      <c r="K23" s="239" t="s">
        <v>24</v>
      </c>
      <c r="L23" s="210" t="s">
        <v>592</v>
      </c>
      <c r="M23" s="210"/>
      <c r="N23" s="221" t="s">
        <v>549</v>
      </c>
      <c r="O23" s="214"/>
      <c r="P23" s="81" t="s">
        <v>586</v>
      </c>
      <c r="Q23" s="225" t="str">
        <f>""</f>
        <v/>
      </c>
      <c r="R23" s="210"/>
    </row>
    <row r="24" spans="2:18" x14ac:dyDescent="0.3">
      <c r="B24" s="243" t="s">
        <v>285</v>
      </c>
      <c r="K24" s="239" t="s">
        <v>24</v>
      </c>
      <c r="L24" s="210" t="s">
        <v>592</v>
      </c>
      <c r="M24" s="210"/>
      <c r="N24" s="221" t="s">
        <v>367</v>
      </c>
      <c r="O24" s="214"/>
      <c r="P24" s="244" t="str">
        <f>""</f>
        <v/>
      </c>
      <c r="Q24" s="245" t="str">
        <f>""</f>
        <v/>
      </c>
    </row>
    <row r="25" spans="2:18" x14ac:dyDescent="0.3">
      <c r="E25" s="246" t="s">
        <v>238</v>
      </c>
      <c r="K25" s="239" t="s">
        <v>24</v>
      </c>
      <c r="L25" s="210" t="s">
        <v>592</v>
      </c>
      <c r="M25" s="210"/>
      <c r="N25" s="221" t="s">
        <v>449</v>
      </c>
      <c r="O25" s="214"/>
      <c r="Q25" s="210"/>
      <c r="R25" s="210"/>
    </row>
    <row r="26" spans="2:18" x14ac:dyDescent="0.3">
      <c r="E26" s="230" t="s">
        <v>570</v>
      </c>
      <c r="K26" s="239" t="s">
        <v>24</v>
      </c>
      <c r="L26" s="210" t="s">
        <v>592</v>
      </c>
      <c r="M26" s="210"/>
      <c r="N26" s="221" t="str">
        <f>""</f>
        <v/>
      </c>
      <c r="O26" s="220"/>
      <c r="R26" s="220"/>
    </row>
    <row r="27" spans="2:18" x14ac:dyDescent="0.3">
      <c r="E27" s="230" t="s">
        <v>245</v>
      </c>
      <c r="K27" s="239" t="s">
        <v>24</v>
      </c>
      <c r="L27" s="36" t="s">
        <v>590</v>
      </c>
      <c r="M27" s="210"/>
      <c r="N27" s="221" t="s">
        <v>551</v>
      </c>
      <c r="O27" s="214"/>
      <c r="Q27" s="210"/>
      <c r="R27" s="220"/>
    </row>
    <row r="28" spans="2:18" x14ac:dyDescent="0.3">
      <c r="E28" s="230" t="s">
        <v>232</v>
      </c>
      <c r="K28" s="239" t="s">
        <v>24</v>
      </c>
      <c r="L28" s="36" t="s">
        <v>590</v>
      </c>
      <c r="M28" s="210"/>
      <c r="N28" s="221" t="str">
        <f>""</f>
        <v/>
      </c>
      <c r="O28" s="214"/>
      <c r="R28" s="214"/>
    </row>
    <row r="29" spans="2:18" x14ac:dyDescent="0.3">
      <c r="E29" s="230" t="s">
        <v>547</v>
      </c>
      <c r="K29" s="239" t="s">
        <v>24</v>
      </c>
      <c r="L29" s="36" t="s">
        <v>589</v>
      </c>
      <c r="M29" s="210"/>
      <c r="N29" s="221" t="s">
        <v>553</v>
      </c>
      <c r="O29" s="214"/>
      <c r="Q29" s="210"/>
      <c r="R29" s="220"/>
    </row>
    <row r="30" spans="2:18" x14ac:dyDescent="0.3">
      <c r="E30" s="230" t="s">
        <v>231</v>
      </c>
      <c r="K30" s="239" t="s">
        <v>24</v>
      </c>
      <c r="L30" s="36" t="s">
        <v>589</v>
      </c>
      <c r="M30" s="210"/>
      <c r="N30" s="221" t="s">
        <v>558</v>
      </c>
      <c r="O30" s="214"/>
      <c r="Q30" s="220"/>
      <c r="R30" s="220"/>
    </row>
    <row r="31" spans="2:18" x14ac:dyDescent="0.3">
      <c r="E31" s="230" t="s">
        <v>237</v>
      </c>
      <c r="K31" s="239" t="s">
        <v>24</v>
      </c>
      <c r="L31" s="36" t="s">
        <v>589</v>
      </c>
      <c r="M31" s="210"/>
      <c r="N31" s="221" t="str">
        <f>""</f>
        <v/>
      </c>
      <c r="O31" s="214"/>
      <c r="Q31" s="220"/>
      <c r="R31" s="220"/>
    </row>
    <row r="32" spans="2:18" x14ac:dyDescent="0.3">
      <c r="E32" s="230" t="s">
        <v>412</v>
      </c>
      <c r="K32" s="247" t="s">
        <v>24</v>
      </c>
      <c r="L32" s="235" t="str">
        <f>""</f>
        <v/>
      </c>
      <c r="N32" s="236" t="str">
        <f>""</f>
        <v/>
      </c>
      <c r="O32" s="220"/>
      <c r="Q32" s="214"/>
      <c r="R32" s="220"/>
    </row>
    <row r="33" spans="5:18" x14ac:dyDescent="0.3">
      <c r="E33" s="230" t="s">
        <v>548</v>
      </c>
      <c r="K33" s="80" t="s">
        <v>21</v>
      </c>
      <c r="L33" s="133" t="s">
        <v>595</v>
      </c>
      <c r="M33" s="210"/>
      <c r="N33" s="217" t="s">
        <v>311</v>
      </c>
      <c r="O33" s="220"/>
      <c r="Q33" s="220"/>
      <c r="R33" s="220"/>
    </row>
    <row r="34" spans="5:18" x14ac:dyDescent="0.3">
      <c r="E34" s="230" t="s">
        <v>244</v>
      </c>
      <c r="K34" s="82" t="s">
        <v>21</v>
      </c>
      <c r="L34" s="124" t="s">
        <v>595</v>
      </c>
      <c r="M34" s="210"/>
      <c r="N34" s="221" t="str">
        <f>""</f>
        <v/>
      </c>
      <c r="O34" s="214"/>
      <c r="Q34" s="220"/>
    </row>
    <row r="35" spans="5:18" x14ac:dyDescent="0.3">
      <c r="E35" s="230" t="s">
        <v>552</v>
      </c>
      <c r="K35" s="82" t="s">
        <v>21</v>
      </c>
      <c r="L35" s="220" t="s">
        <v>593</v>
      </c>
      <c r="M35" s="210"/>
      <c r="N35" s="229" t="s">
        <v>462</v>
      </c>
      <c r="O35" s="214"/>
      <c r="Q35" s="220"/>
      <c r="R35" s="124"/>
    </row>
    <row r="36" spans="5:18" x14ac:dyDescent="0.3">
      <c r="E36" s="230" t="s">
        <v>557</v>
      </c>
      <c r="K36" s="82" t="s">
        <v>21</v>
      </c>
      <c r="L36" s="220" t="s">
        <v>593</v>
      </c>
      <c r="M36" s="210"/>
      <c r="N36" s="221" t="s">
        <v>271</v>
      </c>
      <c r="O36" s="214"/>
      <c r="Q36" s="220"/>
    </row>
    <row r="37" spans="5:18" x14ac:dyDescent="0.3">
      <c r="E37" s="19" t="s">
        <v>561</v>
      </c>
      <c r="K37" s="82" t="s">
        <v>21</v>
      </c>
      <c r="L37" s="220" t="s">
        <v>593</v>
      </c>
      <c r="M37" s="210"/>
      <c r="N37" s="221" t="s">
        <v>273</v>
      </c>
      <c r="O37" s="214"/>
      <c r="Q37" s="220"/>
      <c r="R37" s="220"/>
    </row>
    <row r="38" spans="5:18" x14ac:dyDescent="0.3">
      <c r="E38" s="230" t="s">
        <v>457</v>
      </c>
      <c r="K38" s="82" t="s">
        <v>21</v>
      </c>
      <c r="L38" s="220" t="s">
        <v>593</v>
      </c>
      <c r="M38" s="210"/>
      <c r="N38" s="221" t="s">
        <v>278</v>
      </c>
      <c r="O38" s="214"/>
      <c r="R38" s="220"/>
    </row>
    <row r="39" spans="5:18" x14ac:dyDescent="0.3">
      <c r="E39" s="230" t="s">
        <v>455</v>
      </c>
      <c r="K39" s="82" t="s">
        <v>21</v>
      </c>
      <c r="L39" s="220" t="s">
        <v>593</v>
      </c>
      <c r="M39" s="210"/>
      <c r="N39" s="221" t="s">
        <v>282</v>
      </c>
      <c r="O39" s="214"/>
      <c r="Q39" s="124"/>
      <c r="R39" s="220"/>
    </row>
    <row r="40" spans="5:18" x14ac:dyDescent="0.3">
      <c r="E40" s="230" t="s">
        <v>447</v>
      </c>
      <c r="K40" s="82" t="s">
        <v>21</v>
      </c>
      <c r="L40" s="220" t="s">
        <v>593</v>
      </c>
      <c r="M40" s="210"/>
      <c r="N40" s="229" t="s">
        <v>275</v>
      </c>
      <c r="O40" s="220"/>
      <c r="R40" s="220"/>
    </row>
    <row r="41" spans="5:18" x14ac:dyDescent="0.3">
      <c r="E41" s="230" t="s">
        <v>456</v>
      </c>
      <c r="K41" s="82" t="s">
        <v>21</v>
      </c>
      <c r="L41" s="220" t="s">
        <v>593</v>
      </c>
      <c r="M41" s="210"/>
      <c r="N41" s="229" t="s">
        <v>459</v>
      </c>
      <c r="O41" s="220"/>
      <c r="Q41" s="220"/>
      <c r="R41" s="220"/>
    </row>
    <row r="42" spans="5:18" x14ac:dyDescent="0.3">
      <c r="E42" s="230" t="s">
        <v>215</v>
      </c>
      <c r="K42" s="82" t="s">
        <v>21</v>
      </c>
      <c r="L42" s="220" t="s">
        <v>593</v>
      </c>
      <c r="M42" s="210"/>
      <c r="N42" s="221" t="s">
        <v>286</v>
      </c>
      <c r="O42" s="214"/>
      <c r="Q42" s="220"/>
    </row>
    <row r="43" spans="5:18" x14ac:dyDescent="0.3">
      <c r="E43" s="230" t="s">
        <v>549</v>
      </c>
      <c r="K43" s="82" t="s">
        <v>21</v>
      </c>
      <c r="L43" s="220" t="s">
        <v>593</v>
      </c>
      <c r="M43" s="210"/>
      <c r="N43" s="221" t="s">
        <v>272</v>
      </c>
      <c r="O43" s="214"/>
      <c r="Q43" s="220"/>
      <c r="R43" s="214"/>
    </row>
    <row r="44" spans="5:18" x14ac:dyDescent="0.3">
      <c r="E44" s="230" t="s">
        <v>367</v>
      </c>
      <c r="K44" s="82" t="s">
        <v>21</v>
      </c>
      <c r="L44" s="220" t="s">
        <v>593</v>
      </c>
      <c r="M44" s="210"/>
      <c r="N44" s="221" t="s">
        <v>283</v>
      </c>
      <c r="O44" s="214"/>
      <c r="Q44" s="220"/>
      <c r="R44" s="214"/>
    </row>
    <row r="45" spans="5:18" x14ac:dyDescent="0.3">
      <c r="E45" s="230" t="s">
        <v>449</v>
      </c>
      <c r="K45" s="82" t="s">
        <v>21</v>
      </c>
      <c r="L45" s="220" t="s">
        <v>593</v>
      </c>
      <c r="M45" s="210"/>
      <c r="N45" s="229" t="s">
        <v>550</v>
      </c>
      <c r="O45" s="214"/>
      <c r="Q45" s="220"/>
    </row>
    <row r="46" spans="5:18" x14ac:dyDescent="0.3">
      <c r="E46" s="230" t="s">
        <v>551</v>
      </c>
      <c r="K46" s="82" t="s">
        <v>21</v>
      </c>
      <c r="L46" s="220" t="s">
        <v>593</v>
      </c>
      <c r="M46" s="210"/>
      <c r="N46" s="229" t="s">
        <v>461</v>
      </c>
      <c r="O46" s="214"/>
      <c r="R46" s="214"/>
    </row>
    <row r="47" spans="5:18" x14ac:dyDescent="0.3">
      <c r="E47" s="230" t="s">
        <v>553</v>
      </c>
      <c r="K47" s="82" t="s">
        <v>21</v>
      </c>
      <c r="L47" s="220" t="s">
        <v>593</v>
      </c>
      <c r="M47" s="210"/>
      <c r="N47" s="229" t="str">
        <f>""</f>
        <v/>
      </c>
      <c r="O47" s="214"/>
      <c r="Q47" s="214"/>
      <c r="R47" s="214"/>
    </row>
    <row r="48" spans="5:18" x14ac:dyDescent="0.3">
      <c r="E48" s="230" t="s">
        <v>558</v>
      </c>
      <c r="K48" s="82" t="s">
        <v>21</v>
      </c>
      <c r="L48" s="214" t="s">
        <v>594</v>
      </c>
      <c r="M48" s="210"/>
      <c r="N48" s="221" t="s">
        <v>472</v>
      </c>
      <c r="O48" s="214"/>
      <c r="Q48" s="214"/>
      <c r="R48" s="214"/>
    </row>
    <row r="49" spans="5:18" x14ac:dyDescent="0.3">
      <c r="E49" s="230" t="s">
        <v>311</v>
      </c>
      <c r="K49" s="82" t="s">
        <v>21</v>
      </c>
      <c r="L49" s="214" t="s">
        <v>594</v>
      </c>
      <c r="M49" s="210"/>
      <c r="N49" s="221" t="str">
        <f>""</f>
        <v/>
      </c>
      <c r="O49" s="214"/>
    </row>
    <row r="50" spans="5:18" x14ac:dyDescent="0.3">
      <c r="E50" s="232" t="s">
        <v>462</v>
      </c>
      <c r="K50" s="82" t="s">
        <v>21</v>
      </c>
      <c r="L50" s="36" t="s">
        <v>590</v>
      </c>
      <c r="N50" s="221" t="s">
        <v>568</v>
      </c>
      <c r="O50" s="214"/>
      <c r="Q50" s="214"/>
      <c r="R50" s="214"/>
    </row>
    <row r="51" spans="5:18" x14ac:dyDescent="0.3">
      <c r="E51" s="230" t="s">
        <v>271</v>
      </c>
      <c r="K51" s="82" t="s">
        <v>21</v>
      </c>
      <c r="L51" s="36" t="s">
        <v>590</v>
      </c>
      <c r="N51" s="221" t="str">
        <f>""</f>
        <v/>
      </c>
      <c r="O51" s="214"/>
      <c r="Q51" s="214"/>
      <c r="R51" s="214"/>
    </row>
    <row r="52" spans="5:18" x14ac:dyDescent="0.3">
      <c r="E52" s="230" t="s">
        <v>273</v>
      </c>
      <c r="K52" s="82" t="s">
        <v>21</v>
      </c>
      <c r="L52" s="36" t="s">
        <v>589</v>
      </c>
      <c r="M52" s="210"/>
      <c r="N52" s="221" t="s">
        <v>554</v>
      </c>
      <c r="O52" s="214"/>
      <c r="Q52" s="214"/>
      <c r="R52" s="214"/>
    </row>
    <row r="53" spans="5:18" x14ac:dyDescent="0.3">
      <c r="E53" s="230" t="s">
        <v>278</v>
      </c>
      <c r="K53" s="82" t="s">
        <v>21</v>
      </c>
      <c r="L53" s="36" t="s">
        <v>589</v>
      </c>
      <c r="M53" s="210"/>
      <c r="N53" s="221" t="s">
        <v>555</v>
      </c>
      <c r="O53" s="214"/>
      <c r="R53" s="214"/>
    </row>
    <row r="54" spans="5:18" x14ac:dyDescent="0.3">
      <c r="E54" s="230" t="s">
        <v>282</v>
      </c>
      <c r="K54" s="82" t="s">
        <v>21</v>
      </c>
      <c r="L54" s="36" t="s">
        <v>589</v>
      </c>
      <c r="M54" s="210"/>
      <c r="N54" s="221" t="str">
        <f>""</f>
        <v/>
      </c>
      <c r="O54" s="214"/>
      <c r="Q54" s="214"/>
      <c r="R54" s="124"/>
    </row>
    <row r="55" spans="5:18" x14ac:dyDescent="0.3">
      <c r="E55" s="232" t="s">
        <v>275</v>
      </c>
      <c r="K55" s="81" t="s">
        <v>21</v>
      </c>
      <c r="L55" s="235" t="str">
        <f>""</f>
        <v/>
      </c>
      <c r="N55" s="236" t="str">
        <f>""</f>
        <v/>
      </c>
      <c r="O55" s="214"/>
      <c r="Q55" s="214"/>
      <c r="R55" s="220"/>
    </row>
    <row r="56" spans="5:18" x14ac:dyDescent="0.3">
      <c r="E56" s="232" t="s">
        <v>459</v>
      </c>
      <c r="K56" s="80" t="s">
        <v>26</v>
      </c>
      <c r="L56" s="248" t="s">
        <v>596</v>
      </c>
      <c r="M56" s="210"/>
      <c r="N56" s="217" t="s">
        <v>222</v>
      </c>
      <c r="O56" s="214"/>
      <c r="Q56" s="214"/>
    </row>
    <row r="57" spans="5:18" x14ac:dyDescent="0.3">
      <c r="E57" s="230" t="s">
        <v>286</v>
      </c>
      <c r="K57" s="82" t="s">
        <v>26</v>
      </c>
      <c r="L57" s="214" t="s">
        <v>596</v>
      </c>
      <c r="M57" s="210"/>
      <c r="N57" s="221" t="s">
        <v>223</v>
      </c>
      <c r="O57" s="214"/>
      <c r="Q57" s="214"/>
      <c r="R57" s="214"/>
    </row>
    <row r="58" spans="5:18" x14ac:dyDescent="0.3">
      <c r="E58" s="230" t="s">
        <v>272</v>
      </c>
      <c r="K58" s="82" t="s">
        <v>26</v>
      </c>
      <c r="L58" s="214" t="s">
        <v>596</v>
      </c>
      <c r="M58" s="210"/>
      <c r="N58" s="221" t="s">
        <v>464</v>
      </c>
      <c r="O58" s="214"/>
      <c r="Q58" s="124"/>
      <c r="R58" s="214"/>
    </row>
    <row r="59" spans="5:18" x14ac:dyDescent="0.3">
      <c r="E59" s="230" t="s">
        <v>283</v>
      </c>
      <c r="K59" s="82" t="s">
        <v>26</v>
      </c>
      <c r="L59" s="214" t="s">
        <v>596</v>
      </c>
      <c r="M59" s="210"/>
      <c r="N59" s="221" t="s">
        <v>204</v>
      </c>
      <c r="Q59" s="220"/>
    </row>
    <row r="60" spans="5:18" x14ac:dyDescent="0.3">
      <c r="E60" s="232" t="s">
        <v>550</v>
      </c>
      <c r="K60" s="82" t="s">
        <v>26</v>
      </c>
      <c r="L60" s="214" t="s">
        <v>596</v>
      </c>
      <c r="M60" s="210"/>
      <c r="N60" s="221" t="s">
        <v>220</v>
      </c>
    </row>
    <row r="61" spans="5:18" x14ac:dyDescent="0.3">
      <c r="E61" s="232" t="s">
        <v>461</v>
      </c>
      <c r="K61" s="82" t="s">
        <v>26</v>
      </c>
      <c r="L61" s="214" t="s">
        <v>596</v>
      </c>
      <c r="M61" s="210"/>
      <c r="N61" s="221" t="s">
        <v>203</v>
      </c>
      <c r="Q61" s="214"/>
    </row>
    <row r="62" spans="5:18" x14ac:dyDescent="0.3">
      <c r="E62" s="230" t="s">
        <v>472</v>
      </c>
      <c r="K62" s="82" t="s">
        <v>26</v>
      </c>
      <c r="L62" s="214" t="s">
        <v>596</v>
      </c>
      <c r="M62" s="210"/>
      <c r="N62" s="221" t="s">
        <v>466</v>
      </c>
      <c r="Q62" s="214"/>
    </row>
    <row r="63" spans="5:18" x14ac:dyDescent="0.3">
      <c r="E63" s="230" t="s">
        <v>568</v>
      </c>
      <c r="K63" s="82" t="s">
        <v>26</v>
      </c>
      <c r="L63" s="214" t="s">
        <v>596</v>
      </c>
      <c r="M63" s="210"/>
      <c r="N63" s="221" t="s">
        <v>566</v>
      </c>
    </row>
    <row r="64" spans="5:18" x14ac:dyDescent="0.3">
      <c r="E64" s="230" t="s">
        <v>554</v>
      </c>
      <c r="K64" s="82" t="s">
        <v>26</v>
      </c>
      <c r="L64" s="214" t="s">
        <v>596</v>
      </c>
      <c r="M64" s="210"/>
      <c r="N64" s="221" t="s">
        <v>202</v>
      </c>
    </row>
    <row r="65" spans="5:14" x14ac:dyDescent="0.3">
      <c r="E65" s="230" t="s">
        <v>555</v>
      </c>
      <c r="K65" s="82" t="s">
        <v>26</v>
      </c>
      <c r="L65" s="214" t="s">
        <v>596</v>
      </c>
      <c r="M65" s="210"/>
      <c r="N65" s="221" t="str">
        <f>""</f>
        <v/>
      </c>
    </row>
    <row r="66" spans="5:14" x14ac:dyDescent="0.3">
      <c r="E66" s="230" t="s">
        <v>222</v>
      </c>
      <c r="K66" s="82" t="s">
        <v>26</v>
      </c>
      <c r="L66" s="36" t="s">
        <v>589</v>
      </c>
      <c r="M66" s="210"/>
      <c r="N66" s="221" t="s">
        <v>559</v>
      </c>
    </row>
    <row r="67" spans="5:14" x14ac:dyDescent="0.3">
      <c r="E67" s="230" t="s">
        <v>223</v>
      </c>
      <c r="K67" s="82" t="s">
        <v>26</v>
      </c>
      <c r="L67" s="36" t="s">
        <v>589</v>
      </c>
      <c r="M67" s="210"/>
      <c r="N67" s="221" t="s">
        <v>556</v>
      </c>
    </row>
    <row r="68" spans="5:14" x14ac:dyDescent="0.3">
      <c r="E68" s="230" t="s">
        <v>464</v>
      </c>
      <c r="K68" s="82" t="s">
        <v>26</v>
      </c>
      <c r="L68" s="36" t="s">
        <v>589</v>
      </c>
      <c r="M68" s="210"/>
      <c r="N68" s="221" t="str">
        <f>""</f>
        <v/>
      </c>
    </row>
    <row r="69" spans="5:14" x14ac:dyDescent="0.3">
      <c r="E69" s="230" t="s">
        <v>204</v>
      </c>
      <c r="K69" s="81" t="s">
        <v>26</v>
      </c>
      <c r="L69" s="235" t="str">
        <f>""</f>
        <v/>
      </c>
      <c r="M69" s="210"/>
      <c r="N69" s="236" t="str">
        <f>""</f>
        <v/>
      </c>
    </row>
    <row r="70" spans="5:14" x14ac:dyDescent="0.3">
      <c r="E70" s="230" t="s">
        <v>220</v>
      </c>
      <c r="K70" s="80" t="s">
        <v>586</v>
      </c>
      <c r="L70" s="248" t="s">
        <v>596</v>
      </c>
      <c r="M70" s="210"/>
      <c r="N70" s="217" t="s">
        <v>207</v>
      </c>
    </row>
    <row r="71" spans="5:14" x14ac:dyDescent="0.3">
      <c r="E71" s="230" t="s">
        <v>203</v>
      </c>
      <c r="K71" s="82" t="s">
        <v>586</v>
      </c>
      <c r="L71" s="214" t="s">
        <v>596</v>
      </c>
      <c r="M71" s="210"/>
      <c r="N71" s="221" t="str">
        <f>""</f>
        <v/>
      </c>
    </row>
    <row r="72" spans="5:14" x14ac:dyDescent="0.3">
      <c r="E72" s="230" t="s">
        <v>466</v>
      </c>
      <c r="K72" s="82" t="s">
        <v>586</v>
      </c>
      <c r="L72" s="124" t="s">
        <v>595</v>
      </c>
      <c r="M72" s="210"/>
      <c r="N72" s="221" t="s">
        <v>297</v>
      </c>
    </row>
    <row r="73" spans="5:14" x14ac:dyDescent="0.3">
      <c r="E73" s="230" t="s">
        <v>566</v>
      </c>
      <c r="K73" s="82" t="s">
        <v>586</v>
      </c>
      <c r="L73" s="124" t="s">
        <v>595</v>
      </c>
      <c r="M73" s="210"/>
      <c r="N73" s="221" t="str">
        <f>""</f>
        <v/>
      </c>
    </row>
    <row r="74" spans="5:14" x14ac:dyDescent="0.3">
      <c r="E74" s="230" t="s">
        <v>202</v>
      </c>
      <c r="K74" s="82" t="s">
        <v>586</v>
      </c>
      <c r="L74" s="220" t="s">
        <v>593</v>
      </c>
      <c r="M74" s="210"/>
      <c r="N74" s="221" t="s">
        <v>285</v>
      </c>
    </row>
    <row r="75" spans="5:14" x14ac:dyDescent="0.3">
      <c r="E75" s="230" t="s">
        <v>559</v>
      </c>
      <c r="K75" s="82" t="s">
        <v>586</v>
      </c>
      <c r="L75" s="220" t="s">
        <v>593</v>
      </c>
      <c r="M75" s="210"/>
      <c r="N75" s="221" t="str">
        <f>""</f>
        <v/>
      </c>
    </row>
    <row r="76" spans="5:14" x14ac:dyDescent="0.3">
      <c r="E76" s="230" t="s">
        <v>556</v>
      </c>
      <c r="K76" s="82" t="s">
        <v>586</v>
      </c>
      <c r="L76" s="214" t="s">
        <v>594</v>
      </c>
      <c r="M76" s="210"/>
      <c r="N76" s="221" t="s">
        <v>338</v>
      </c>
    </row>
    <row r="77" spans="5:14" x14ac:dyDescent="0.3">
      <c r="E77" s="230" t="s">
        <v>207</v>
      </c>
      <c r="K77" s="82" t="s">
        <v>586</v>
      </c>
      <c r="L77" s="214" t="s">
        <v>594</v>
      </c>
      <c r="M77" s="210"/>
      <c r="N77" s="221" t="str">
        <f>""</f>
        <v/>
      </c>
    </row>
    <row r="78" spans="5:14" x14ac:dyDescent="0.3">
      <c r="E78" s="230" t="s">
        <v>297</v>
      </c>
      <c r="K78" s="82" t="s">
        <v>586</v>
      </c>
      <c r="L78" s="36" t="s">
        <v>589</v>
      </c>
      <c r="M78" s="210"/>
      <c r="N78" s="221" t="s">
        <v>560</v>
      </c>
    </row>
    <row r="79" spans="5:14" x14ac:dyDescent="0.3">
      <c r="E79" s="230" t="s">
        <v>285</v>
      </c>
      <c r="K79" s="82" t="s">
        <v>586</v>
      </c>
      <c r="L79" s="36" t="s">
        <v>589</v>
      </c>
      <c r="M79" s="210"/>
      <c r="N79" s="221" t="str">
        <f>""</f>
        <v/>
      </c>
    </row>
    <row r="80" spans="5:14" x14ac:dyDescent="0.3">
      <c r="E80" s="230" t="s">
        <v>338</v>
      </c>
      <c r="K80" s="81" t="s">
        <v>586</v>
      </c>
      <c r="L80" s="235" t="str">
        <f>""</f>
        <v/>
      </c>
      <c r="N80" s="236" t="str">
        <f>""</f>
        <v/>
      </c>
    </row>
    <row r="81" spans="5:14" x14ac:dyDescent="0.3">
      <c r="E81" s="230" t="s">
        <v>560</v>
      </c>
      <c r="K81" s="249" t="str">
        <f>""</f>
        <v/>
      </c>
      <c r="L81" s="250" t="str">
        <f>""</f>
        <v/>
      </c>
      <c r="N81" s="251" t="str">
        <f>""</f>
        <v/>
      </c>
    </row>
    <row r="82" spans="5:14" x14ac:dyDescent="0.3">
      <c r="E82" s="20" t="str">
        <f>""</f>
        <v/>
      </c>
      <c r="L82" s="214"/>
    </row>
    <row r="83" spans="5:14" x14ac:dyDescent="0.3">
      <c r="E83" s="241">
        <v>0</v>
      </c>
    </row>
    <row r="84" spans="5:14" x14ac:dyDescent="0.3">
      <c r="E84" s="214" t="str">
        <f>""</f>
        <v/>
      </c>
    </row>
    <row r="85" spans="5:14" x14ac:dyDescent="0.3">
      <c r="E85" s="214" t="str">
        <f>""</f>
        <v/>
      </c>
    </row>
    <row r="87" spans="5:14" x14ac:dyDescent="0.3">
      <c r="E87" s="214" t="str">
        <f>""</f>
        <v/>
      </c>
    </row>
    <row r="89" spans="5:14" x14ac:dyDescent="0.3">
      <c r="E89" s="214" t="str">
        <f>""</f>
        <v/>
      </c>
    </row>
    <row r="91" spans="5:14" x14ac:dyDescent="0.3">
      <c r="E91" s="214" t="str">
        <f>""</f>
        <v/>
      </c>
      <c r="L91" s="220"/>
    </row>
    <row r="92" spans="5:14" x14ac:dyDescent="0.3">
      <c r="L92" s="214"/>
    </row>
    <row r="93" spans="5:14" x14ac:dyDescent="0.3">
      <c r="E93" s="214" t="str">
        <f>""</f>
        <v/>
      </c>
    </row>
  </sheetData>
  <mergeCells count="2">
    <mergeCell ref="D1:E1"/>
    <mergeCell ref="G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8" x14ac:dyDescent="0.3"/>
  <cols>
    <col min="1" max="1" width="32.33203125" style="85" customWidth="1"/>
    <col min="2" max="22" width="31.33203125" style="85" customWidth="1"/>
    <col min="23" max="24" width="8.88671875" style="85"/>
    <col min="25" max="31" width="20.77734375" style="85" customWidth="1"/>
    <col min="32" max="16384" width="8.88671875" style="85"/>
  </cols>
  <sheetData>
    <row r="1" spans="1:31" s="87" customFormat="1" ht="14.4" thickTop="1" x14ac:dyDescent="0.3">
      <c r="A1" s="252"/>
      <c r="B1" s="253" t="s">
        <v>23</v>
      </c>
      <c r="C1" s="253" t="s">
        <v>22</v>
      </c>
      <c r="D1" s="254" t="s">
        <v>545</v>
      </c>
      <c r="E1" s="254" t="s">
        <v>543</v>
      </c>
      <c r="F1" s="254" t="s">
        <v>542</v>
      </c>
      <c r="G1" s="254" t="s">
        <v>546</v>
      </c>
      <c r="H1" s="254" t="s">
        <v>578</v>
      </c>
      <c r="I1" s="254" t="s">
        <v>21</v>
      </c>
      <c r="J1" s="254" t="s">
        <v>544</v>
      </c>
      <c r="K1" s="254" t="s">
        <v>369</v>
      </c>
      <c r="L1" s="254" t="s">
        <v>368</v>
      </c>
      <c r="M1" s="254" t="s">
        <v>563</v>
      </c>
      <c r="N1" s="254" t="s">
        <v>565</v>
      </c>
      <c r="O1" s="254" t="s">
        <v>562</v>
      </c>
      <c r="P1" s="254" t="s">
        <v>564</v>
      </c>
      <c r="Q1" s="254" t="s">
        <v>579</v>
      </c>
      <c r="R1" s="254" t="s">
        <v>597</v>
      </c>
      <c r="S1" s="254" t="s">
        <v>580</v>
      </c>
      <c r="T1" s="254" t="s">
        <v>581</v>
      </c>
      <c r="U1" s="254" t="s">
        <v>576</v>
      </c>
      <c r="V1" s="254" t="s">
        <v>575</v>
      </c>
      <c r="W1" s="253" t="str">
        <f>""</f>
        <v/>
      </c>
      <c r="Y1" s="92" t="s">
        <v>542</v>
      </c>
      <c r="Z1" s="93" t="s">
        <v>544</v>
      </c>
      <c r="AA1" s="93" t="s">
        <v>369</v>
      </c>
      <c r="AB1" s="93" t="s">
        <v>368</v>
      </c>
      <c r="AC1" s="93" t="s">
        <v>565</v>
      </c>
      <c r="AD1" s="93" t="s">
        <v>564</v>
      </c>
      <c r="AE1" s="94" t="s">
        <v>575</v>
      </c>
    </row>
    <row r="2" spans="1:31" s="88" customFormat="1" ht="14.4" x14ac:dyDescent="0.3">
      <c r="A2" s="255" t="s">
        <v>238</v>
      </c>
      <c r="B2" s="256" t="s">
        <v>23</v>
      </c>
      <c r="C2" s="256" t="s">
        <v>22</v>
      </c>
      <c r="D2" s="256" t="s">
        <v>545</v>
      </c>
      <c r="E2" s="256" t="s">
        <v>543</v>
      </c>
      <c r="F2" s="256" t="s">
        <v>542</v>
      </c>
      <c r="G2" s="256" t="s">
        <v>546</v>
      </c>
      <c r="H2" s="256" t="s">
        <v>578</v>
      </c>
      <c r="I2" s="256" t="s">
        <v>23</v>
      </c>
      <c r="J2" s="256" t="s">
        <v>544</v>
      </c>
      <c r="K2" s="256" t="s">
        <v>369</v>
      </c>
      <c r="L2" s="256" t="s">
        <v>368</v>
      </c>
      <c r="M2" s="256" t="s">
        <v>563</v>
      </c>
      <c r="N2" s="256" t="s">
        <v>565</v>
      </c>
      <c r="O2" s="256" t="s">
        <v>562</v>
      </c>
      <c r="P2" s="256" t="s">
        <v>564</v>
      </c>
      <c r="Q2" s="256" t="s">
        <v>579</v>
      </c>
      <c r="R2" s="256" t="s">
        <v>597</v>
      </c>
      <c r="S2" s="256" t="s">
        <v>580</v>
      </c>
      <c r="T2" s="256" t="s">
        <v>562</v>
      </c>
      <c r="U2" s="256" t="s">
        <v>563</v>
      </c>
      <c r="V2" s="256" t="s">
        <v>564</v>
      </c>
      <c r="W2" s="256" t="str">
        <f>""</f>
        <v/>
      </c>
      <c r="Y2" s="96" t="s">
        <v>214</v>
      </c>
      <c r="Z2" s="86" t="s">
        <v>214</v>
      </c>
      <c r="AA2" s="86" t="s">
        <v>214</v>
      </c>
      <c r="AB2" s="86" t="s">
        <v>214</v>
      </c>
      <c r="AC2" s="86" t="s">
        <v>214</v>
      </c>
      <c r="AD2" s="86" t="s">
        <v>214</v>
      </c>
      <c r="AE2" s="100" t="s">
        <v>214</v>
      </c>
    </row>
    <row r="3" spans="1:31" ht="14.4" x14ac:dyDescent="0.3">
      <c r="A3" s="257" t="s">
        <v>570</v>
      </c>
      <c r="B3" s="243" t="s">
        <v>22</v>
      </c>
      <c r="C3" s="243" t="s">
        <v>22</v>
      </c>
      <c r="D3" s="243" t="s">
        <v>545</v>
      </c>
      <c r="E3" s="243" t="s">
        <v>22</v>
      </c>
      <c r="F3" s="243" t="s">
        <v>22</v>
      </c>
      <c r="G3" s="243" t="s">
        <v>23</v>
      </c>
      <c r="H3" s="243" t="s">
        <v>22</v>
      </c>
      <c r="I3" s="243" t="s">
        <v>579</v>
      </c>
      <c r="J3" s="243" t="s">
        <v>22</v>
      </c>
      <c r="K3" s="243" t="s">
        <v>369</v>
      </c>
      <c r="L3" s="243" t="s">
        <v>22</v>
      </c>
      <c r="M3" s="243" t="s">
        <v>22</v>
      </c>
      <c r="N3" s="243" t="s">
        <v>22</v>
      </c>
      <c r="O3" s="243" t="s">
        <v>22</v>
      </c>
      <c r="P3" s="243" t="s">
        <v>22</v>
      </c>
      <c r="Q3" s="243" t="s">
        <v>579</v>
      </c>
      <c r="R3" s="243" t="s">
        <v>597</v>
      </c>
      <c r="S3" s="243" t="s">
        <v>545</v>
      </c>
      <c r="T3" s="243" t="s">
        <v>597</v>
      </c>
      <c r="U3" s="243" t="s">
        <v>579</v>
      </c>
      <c r="V3" s="243" t="s">
        <v>579</v>
      </c>
      <c r="W3" s="243" t="str">
        <f>""</f>
        <v/>
      </c>
      <c r="Y3" s="96" t="s">
        <v>214</v>
      </c>
      <c r="Z3" s="86" t="s">
        <v>214</v>
      </c>
      <c r="AA3" s="86" t="s">
        <v>214</v>
      </c>
      <c r="AB3" s="86" t="s">
        <v>214</v>
      </c>
      <c r="AC3" s="86" t="s">
        <v>214</v>
      </c>
      <c r="AD3" s="86" t="s">
        <v>214</v>
      </c>
      <c r="AE3" s="100" t="s">
        <v>214</v>
      </c>
    </row>
    <row r="4" spans="1:31" ht="14.4" x14ac:dyDescent="0.3">
      <c r="A4" s="257" t="s">
        <v>245</v>
      </c>
      <c r="B4" s="243" t="s">
        <v>543</v>
      </c>
      <c r="C4" s="243" t="s">
        <v>543</v>
      </c>
      <c r="D4" s="243" t="s">
        <v>543</v>
      </c>
      <c r="E4" s="243" t="s">
        <v>543</v>
      </c>
      <c r="F4" s="243" t="s">
        <v>543</v>
      </c>
      <c r="G4" s="243" t="s">
        <v>543</v>
      </c>
      <c r="H4" s="243" t="s">
        <v>543</v>
      </c>
      <c r="I4" s="243" t="s">
        <v>543</v>
      </c>
      <c r="J4" s="243" t="s">
        <v>543</v>
      </c>
      <c r="K4" s="243" t="s">
        <v>369</v>
      </c>
      <c r="L4" s="243" t="s">
        <v>543</v>
      </c>
      <c r="M4" s="243" t="s">
        <v>543</v>
      </c>
      <c r="N4" s="243" t="s">
        <v>543</v>
      </c>
      <c r="O4" s="243" t="s">
        <v>543</v>
      </c>
      <c r="P4" s="243" t="s">
        <v>543</v>
      </c>
      <c r="Q4" s="243" t="s">
        <v>543</v>
      </c>
      <c r="R4" s="243" t="s">
        <v>543</v>
      </c>
      <c r="S4" s="243" t="s">
        <v>543</v>
      </c>
      <c r="T4" s="243" t="s">
        <v>543</v>
      </c>
      <c r="U4" s="243" t="s">
        <v>543</v>
      </c>
      <c r="V4" s="243" t="s">
        <v>543</v>
      </c>
      <c r="W4" s="243" t="str">
        <f>""</f>
        <v/>
      </c>
      <c r="Y4" s="96" t="s">
        <v>214</v>
      </c>
      <c r="Z4" s="86" t="s">
        <v>214</v>
      </c>
      <c r="AA4" s="86" t="s">
        <v>214</v>
      </c>
      <c r="AB4" s="86" t="s">
        <v>214</v>
      </c>
      <c r="AC4" s="86" t="s">
        <v>214</v>
      </c>
      <c r="AD4" s="86" t="s">
        <v>214</v>
      </c>
      <c r="AE4" s="100" t="s">
        <v>214</v>
      </c>
    </row>
    <row r="5" spans="1:31" ht="14.4" x14ac:dyDescent="0.3">
      <c r="A5" s="257" t="s">
        <v>232</v>
      </c>
      <c r="B5" s="243" t="s">
        <v>543</v>
      </c>
      <c r="C5" s="243" t="s">
        <v>543</v>
      </c>
      <c r="D5" s="243" t="s">
        <v>543</v>
      </c>
      <c r="E5" s="243" t="s">
        <v>543</v>
      </c>
      <c r="F5" s="243" t="s">
        <v>543</v>
      </c>
      <c r="G5" s="243" t="s">
        <v>543</v>
      </c>
      <c r="H5" s="243" t="s">
        <v>543</v>
      </c>
      <c r="I5" s="243" t="s">
        <v>543</v>
      </c>
      <c r="J5" s="243" t="s">
        <v>543</v>
      </c>
      <c r="K5" s="243" t="s">
        <v>369</v>
      </c>
      <c r="L5" s="243" t="s">
        <v>543</v>
      </c>
      <c r="M5" s="243" t="s">
        <v>543</v>
      </c>
      <c r="N5" s="243" t="s">
        <v>543</v>
      </c>
      <c r="O5" s="243" t="s">
        <v>543</v>
      </c>
      <c r="P5" s="243" t="s">
        <v>543</v>
      </c>
      <c r="Q5" s="243" t="s">
        <v>543</v>
      </c>
      <c r="R5" s="243" t="s">
        <v>543</v>
      </c>
      <c r="S5" s="243" t="s">
        <v>543</v>
      </c>
      <c r="T5" s="243" t="s">
        <v>543</v>
      </c>
      <c r="U5" s="243" t="s">
        <v>543</v>
      </c>
      <c r="V5" s="258" t="s">
        <v>543</v>
      </c>
      <c r="W5" s="243" t="str">
        <f>""</f>
        <v/>
      </c>
      <c r="Y5" s="96" t="s">
        <v>214</v>
      </c>
      <c r="Z5" s="86" t="s">
        <v>214</v>
      </c>
      <c r="AA5" s="86" t="s">
        <v>214</v>
      </c>
      <c r="AB5" s="86" t="s">
        <v>214</v>
      </c>
      <c r="AC5" s="86" t="s">
        <v>214</v>
      </c>
      <c r="AD5" s="86" t="s">
        <v>214</v>
      </c>
      <c r="AE5" s="97" t="s">
        <v>576</v>
      </c>
    </row>
    <row r="6" spans="1:31" ht="14.4" x14ac:dyDescent="0.3">
      <c r="A6" s="257" t="s">
        <v>547</v>
      </c>
      <c r="B6" s="243" t="s">
        <v>543</v>
      </c>
      <c r="C6" s="243" t="s">
        <v>543</v>
      </c>
      <c r="D6" s="243" t="s">
        <v>543</v>
      </c>
      <c r="E6" s="243" t="s">
        <v>543</v>
      </c>
      <c r="F6" s="243" t="s">
        <v>543</v>
      </c>
      <c r="G6" s="243" t="s">
        <v>543</v>
      </c>
      <c r="H6" s="243" t="s">
        <v>543</v>
      </c>
      <c r="I6" s="243" t="s">
        <v>543</v>
      </c>
      <c r="J6" s="243" t="s">
        <v>543</v>
      </c>
      <c r="K6" s="243" t="s">
        <v>369</v>
      </c>
      <c r="L6" s="243" t="s">
        <v>543</v>
      </c>
      <c r="M6" s="243" t="s">
        <v>543</v>
      </c>
      <c r="N6" s="243" t="s">
        <v>543</v>
      </c>
      <c r="O6" s="243" t="s">
        <v>543</v>
      </c>
      <c r="P6" s="243" t="s">
        <v>543</v>
      </c>
      <c r="Q6" s="243" t="s">
        <v>543</v>
      </c>
      <c r="R6" s="243" t="s">
        <v>543</v>
      </c>
      <c r="S6" s="243" t="s">
        <v>543</v>
      </c>
      <c r="T6" s="243" t="s">
        <v>543</v>
      </c>
      <c r="U6" s="243" t="s">
        <v>543</v>
      </c>
      <c r="V6" s="243" t="s">
        <v>543</v>
      </c>
      <c r="W6" s="243" t="str">
        <f>""</f>
        <v/>
      </c>
      <c r="Y6" s="96" t="s">
        <v>214</v>
      </c>
      <c r="Z6" s="86" t="s">
        <v>214</v>
      </c>
      <c r="AA6" s="86" t="s">
        <v>214</v>
      </c>
      <c r="AB6" s="86" t="s">
        <v>214</v>
      </c>
      <c r="AC6" s="86" t="s">
        <v>214</v>
      </c>
      <c r="AD6" s="86" t="s">
        <v>214</v>
      </c>
      <c r="AE6" s="100" t="s">
        <v>214</v>
      </c>
    </row>
    <row r="7" spans="1:31" ht="14.4" x14ac:dyDescent="0.3">
      <c r="A7" s="257" t="s">
        <v>231</v>
      </c>
      <c r="B7" s="243" t="s">
        <v>543</v>
      </c>
      <c r="C7" s="243" t="s">
        <v>543</v>
      </c>
      <c r="D7" s="243" t="s">
        <v>543</v>
      </c>
      <c r="E7" s="243" t="s">
        <v>543</v>
      </c>
      <c r="F7" s="243" t="s">
        <v>578</v>
      </c>
      <c r="G7" s="243" t="s">
        <v>578</v>
      </c>
      <c r="H7" s="243" t="s">
        <v>543</v>
      </c>
      <c r="I7" s="243" t="s">
        <v>543</v>
      </c>
      <c r="J7" s="243" t="s">
        <v>543</v>
      </c>
      <c r="K7" s="243" t="s">
        <v>369</v>
      </c>
      <c r="L7" s="243" t="s">
        <v>543</v>
      </c>
      <c r="M7" s="243" t="s">
        <v>543</v>
      </c>
      <c r="N7" s="243" t="s">
        <v>543</v>
      </c>
      <c r="O7" s="243" t="s">
        <v>543</v>
      </c>
      <c r="P7" s="243" t="s">
        <v>543</v>
      </c>
      <c r="Q7" s="243" t="s">
        <v>543</v>
      </c>
      <c r="R7" s="243" t="s">
        <v>543</v>
      </c>
      <c r="S7" s="243" t="s">
        <v>543</v>
      </c>
      <c r="T7" s="243" t="s">
        <v>543</v>
      </c>
      <c r="U7" s="243" t="s">
        <v>543</v>
      </c>
      <c r="V7" s="243" t="s">
        <v>543</v>
      </c>
      <c r="W7" s="243" t="str">
        <f>""</f>
        <v/>
      </c>
      <c r="Y7" s="96" t="s">
        <v>214</v>
      </c>
      <c r="Z7" s="86" t="s">
        <v>214</v>
      </c>
      <c r="AA7" s="86" t="s">
        <v>214</v>
      </c>
      <c r="AB7" s="86" t="s">
        <v>214</v>
      </c>
      <c r="AC7" s="86" t="s">
        <v>214</v>
      </c>
      <c r="AD7" s="86" t="s">
        <v>214</v>
      </c>
      <c r="AE7" s="100" t="s">
        <v>214</v>
      </c>
    </row>
    <row r="8" spans="1:31" ht="14.4" x14ac:dyDescent="0.3">
      <c r="A8" s="257" t="s">
        <v>237</v>
      </c>
      <c r="B8" s="243" t="s">
        <v>543</v>
      </c>
      <c r="C8" s="243" t="s">
        <v>543</v>
      </c>
      <c r="D8" s="243" t="s">
        <v>543</v>
      </c>
      <c r="E8" s="243" t="s">
        <v>543</v>
      </c>
      <c r="F8" s="243" t="s">
        <v>543</v>
      </c>
      <c r="G8" s="243" t="s">
        <v>543</v>
      </c>
      <c r="H8" s="243" t="s">
        <v>543</v>
      </c>
      <c r="I8" s="243" t="s">
        <v>543</v>
      </c>
      <c r="J8" s="243" t="s">
        <v>543</v>
      </c>
      <c r="K8" s="243" t="s">
        <v>369</v>
      </c>
      <c r="L8" s="243" t="s">
        <v>543</v>
      </c>
      <c r="M8" s="243" t="s">
        <v>543</v>
      </c>
      <c r="N8" s="243" t="s">
        <v>543</v>
      </c>
      <c r="O8" s="243" t="s">
        <v>543</v>
      </c>
      <c r="P8" s="243" t="s">
        <v>543</v>
      </c>
      <c r="Q8" s="243" t="s">
        <v>543</v>
      </c>
      <c r="R8" s="243" t="s">
        <v>543</v>
      </c>
      <c r="S8" s="243" t="s">
        <v>543</v>
      </c>
      <c r="T8" s="243" t="s">
        <v>543</v>
      </c>
      <c r="U8" s="243" t="s">
        <v>543</v>
      </c>
      <c r="V8" s="243" t="s">
        <v>543</v>
      </c>
      <c r="W8" s="243" t="str">
        <f>""</f>
        <v/>
      </c>
      <c r="Y8" s="96" t="s">
        <v>214</v>
      </c>
      <c r="Z8" s="86" t="s">
        <v>214</v>
      </c>
      <c r="AA8" s="86" t="s">
        <v>214</v>
      </c>
      <c r="AB8" s="86" t="s">
        <v>214</v>
      </c>
      <c r="AC8" s="86" t="s">
        <v>214</v>
      </c>
      <c r="AD8" s="86" t="s">
        <v>214</v>
      </c>
      <c r="AE8" s="100" t="s">
        <v>214</v>
      </c>
    </row>
    <row r="9" spans="1:31" ht="14.4" x14ac:dyDescent="0.3">
      <c r="A9" s="257" t="s">
        <v>412</v>
      </c>
      <c r="B9" s="243" t="s">
        <v>543</v>
      </c>
      <c r="C9" s="243" t="s">
        <v>543</v>
      </c>
      <c r="D9" s="243" t="s">
        <v>543</v>
      </c>
      <c r="E9" s="243" t="s">
        <v>543</v>
      </c>
      <c r="F9" s="243" t="s">
        <v>543</v>
      </c>
      <c r="G9" s="243" t="s">
        <v>543</v>
      </c>
      <c r="H9" s="243" t="s">
        <v>543</v>
      </c>
      <c r="I9" s="243" t="s">
        <v>543</v>
      </c>
      <c r="J9" s="243" t="s">
        <v>543</v>
      </c>
      <c r="K9" s="243" t="s">
        <v>369</v>
      </c>
      <c r="L9" s="243" t="s">
        <v>543</v>
      </c>
      <c r="M9" s="243" t="s">
        <v>543</v>
      </c>
      <c r="N9" s="243" t="s">
        <v>543</v>
      </c>
      <c r="O9" s="243" t="s">
        <v>543</v>
      </c>
      <c r="P9" s="243" t="s">
        <v>543</v>
      </c>
      <c r="Q9" s="243" t="s">
        <v>543</v>
      </c>
      <c r="R9" s="243" t="s">
        <v>543</v>
      </c>
      <c r="S9" s="243" t="s">
        <v>543</v>
      </c>
      <c r="T9" s="243" t="s">
        <v>543</v>
      </c>
      <c r="U9" s="243" t="s">
        <v>543</v>
      </c>
      <c r="V9" s="243" t="s">
        <v>543</v>
      </c>
      <c r="W9" s="243" t="str">
        <f>""</f>
        <v/>
      </c>
      <c r="Y9" s="96" t="s">
        <v>214</v>
      </c>
      <c r="Z9" s="86" t="s">
        <v>214</v>
      </c>
      <c r="AA9" s="86" t="s">
        <v>214</v>
      </c>
      <c r="AB9" s="86" t="s">
        <v>214</v>
      </c>
      <c r="AC9" s="86" t="s">
        <v>214</v>
      </c>
      <c r="AD9" s="86" t="s">
        <v>214</v>
      </c>
      <c r="AE9" s="100" t="s">
        <v>214</v>
      </c>
    </row>
    <row r="10" spans="1:31" ht="14.4" x14ac:dyDescent="0.3">
      <c r="A10" s="257" t="s">
        <v>548</v>
      </c>
      <c r="B10" s="243" t="s">
        <v>543</v>
      </c>
      <c r="C10" s="243" t="s">
        <v>543</v>
      </c>
      <c r="D10" s="243" t="s">
        <v>543</v>
      </c>
      <c r="E10" s="243" t="s">
        <v>543</v>
      </c>
      <c r="F10" s="243" t="s">
        <v>578</v>
      </c>
      <c r="G10" s="243" t="s">
        <v>578</v>
      </c>
      <c r="H10" s="243" t="s">
        <v>543</v>
      </c>
      <c r="I10" s="243" t="s">
        <v>543</v>
      </c>
      <c r="J10" s="243" t="s">
        <v>543</v>
      </c>
      <c r="K10" s="243" t="s">
        <v>369</v>
      </c>
      <c r="L10" s="243" t="s">
        <v>543</v>
      </c>
      <c r="M10" s="243" t="s">
        <v>543</v>
      </c>
      <c r="N10" s="243" t="s">
        <v>543</v>
      </c>
      <c r="O10" s="243" t="s">
        <v>543</v>
      </c>
      <c r="P10" s="243" t="s">
        <v>543</v>
      </c>
      <c r="Q10" s="243" t="s">
        <v>543</v>
      </c>
      <c r="R10" s="243" t="s">
        <v>543</v>
      </c>
      <c r="S10" s="243" t="s">
        <v>543</v>
      </c>
      <c r="T10" s="243" t="s">
        <v>543</v>
      </c>
      <c r="U10" s="243" t="s">
        <v>543</v>
      </c>
      <c r="V10" s="243" t="s">
        <v>543</v>
      </c>
      <c r="W10" s="243" t="str">
        <f>""</f>
        <v/>
      </c>
      <c r="Y10" s="96" t="s">
        <v>214</v>
      </c>
      <c r="Z10" s="86" t="s">
        <v>214</v>
      </c>
      <c r="AA10" s="86" t="s">
        <v>214</v>
      </c>
      <c r="AB10" s="86" t="s">
        <v>214</v>
      </c>
      <c r="AC10" s="86" t="s">
        <v>214</v>
      </c>
      <c r="AD10" s="86" t="s">
        <v>214</v>
      </c>
      <c r="AE10" s="100" t="s">
        <v>214</v>
      </c>
    </row>
    <row r="11" spans="1:31" ht="14.4" x14ac:dyDescent="0.3">
      <c r="A11" s="257" t="s">
        <v>244</v>
      </c>
      <c r="B11" s="243" t="s">
        <v>23</v>
      </c>
      <c r="C11" s="243" t="s">
        <v>543</v>
      </c>
      <c r="D11" s="243" t="s">
        <v>543</v>
      </c>
      <c r="E11" s="243" t="s">
        <v>543</v>
      </c>
      <c r="F11" s="243" t="s">
        <v>578</v>
      </c>
      <c r="G11" s="243" t="s">
        <v>578</v>
      </c>
      <c r="H11" s="243" t="s">
        <v>578</v>
      </c>
      <c r="I11" s="243" t="s">
        <v>21</v>
      </c>
      <c r="J11" s="243" t="s">
        <v>544</v>
      </c>
      <c r="K11" s="243" t="s">
        <v>369</v>
      </c>
      <c r="L11" s="243" t="s">
        <v>368</v>
      </c>
      <c r="M11" s="243" t="s">
        <v>563</v>
      </c>
      <c r="N11" s="243" t="s">
        <v>565</v>
      </c>
      <c r="O11" s="243" t="s">
        <v>545</v>
      </c>
      <c r="P11" s="243" t="s">
        <v>564</v>
      </c>
      <c r="Q11" s="243" t="s">
        <v>543</v>
      </c>
      <c r="R11" s="243" t="s">
        <v>543</v>
      </c>
      <c r="S11" s="243" t="s">
        <v>543</v>
      </c>
      <c r="T11" s="243" t="s">
        <v>562</v>
      </c>
      <c r="U11" s="243" t="s">
        <v>576</v>
      </c>
      <c r="V11" s="243" t="s">
        <v>575</v>
      </c>
      <c r="W11" s="243" t="str">
        <f>""</f>
        <v/>
      </c>
      <c r="Y11" s="96" t="s">
        <v>214</v>
      </c>
      <c r="Z11" s="86" t="s">
        <v>214</v>
      </c>
      <c r="AA11" s="86" t="s">
        <v>214</v>
      </c>
      <c r="AB11" s="86" t="s">
        <v>214</v>
      </c>
      <c r="AC11" s="86" t="s">
        <v>214</v>
      </c>
      <c r="AD11" s="86" t="s">
        <v>214</v>
      </c>
      <c r="AE11" s="100" t="s">
        <v>214</v>
      </c>
    </row>
    <row r="12" spans="1:31" ht="14.4" x14ac:dyDescent="0.3">
      <c r="A12" s="257" t="s">
        <v>552</v>
      </c>
      <c r="B12" s="243" t="s">
        <v>22</v>
      </c>
      <c r="C12" s="243" t="s">
        <v>22</v>
      </c>
      <c r="D12" s="243" t="s">
        <v>545</v>
      </c>
      <c r="E12" s="243" t="s">
        <v>22</v>
      </c>
      <c r="F12" s="243" t="s">
        <v>22</v>
      </c>
      <c r="G12" s="243" t="s">
        <v>545</v>
      </c>
      <c r="H12" s="243" t="s">
        <v>22</v>
      </c>
      <c r="I12" s="243" t="s">
        <v>579</v>
      </c>
      <c r="J12" s="243" t="s">
        <v>22</v>
      </c>
      <c r="K12" s="243" t="s">
        <v>369</v>
      </c>
      <c r="L12" s="243" t="s">
        <v>22</v>
      </c>
      <c r="M12" s="243" t="s">
        <v>22</v>
      </c>
      <c r="N12" s="243" t="s">
        <v>22</v>
      </c>
      <c r="O12" s="243" t="s">
        <v>22</v>
      </c>
      <c r="P12" s="243" t="s">
        <v>22</v>
      </c>
      <c r="Q12" s="243" t="s">
        <v>22</v>
      </c>
      <c r="R12" s="243" t="s">
        <v>22</v>
      </c>
      <c r="S12" s="243" t="s">
        <v>545</v>
      </c>
      <c r="T12" s="243" t="s">
        <v>597</v>
      </c>
      <c r="U12" s="243" t="s">
        <v>579</v>
      </c>
      <c r="V12" s="243" t="s">
        <v>579</v>
      </c>
      <c r="W12" s="243" t="str">
        <f>""</f>
        <v/>
      </c>
      <c r="Y12" s="96" t="s">
        <v>214</v>
      </c>
      <c r="Z12" s="86" t="s">
        <v>214</v>
      </c>
      <c r="AA12" s="86" t="s">
        <v>214</v>
      </c>
      <c r="AB12" s="86" t="s">
        <v>214</v>
      </c>
      <c r="AC12" s="86" t="s">
        <v>214</v>
      </c>
      <c r="AD12" s="86" t="s">
        <v>214</v>
      </c>
      <c r="AE12" s="100" t="s">
        <v>214</v>
      </c>
    </row>
    <row r="13" spans="1:31" ht="14.4" x14ac:dyDescent="0.3">
      <c r="A13" s="257" t="s">
        <v>557</v>
      </c>
      <c r="B13" s="243" t="s">
        <v>543</v>
      </c>
      <c r="C13" s="243" t="s">
        <v>543</v>
      </c>
      <c r="D13" s="243" t="s">
        <v>543</v>
      </c>
      <c r="E13" s="243" t="s">
        <v>543</v>
      </c>
      <c r="F13" s="243" t="s">
        <v>578</v>
      </c>
      <c r="G13" s="243" t="s">
        <v>578</v>
      </c>
      <c r="H13" s="243" t="s">
        <v>543</v>
      </c>
      <c r="I13" s="243" t="s">
        <v>543</v>
      </c>
      <c r="J13" s="243" t="s">
        <v>543</v>
      </c>
      <c r="K13" s="243" t="s">
        <v>369</v>
      </c>
      <c r="L13" s="243" t="s">
        <v>543</v>
      </c>
      <c r="M13" s="243" t="s">
        <v>543</v>
      </c>
      <c r="N13" s="243" t="s">
        <v>543</v>
      </c>
      <c r="O13" s="243" t="s">
        <v>543</v>
      </c>
      <c r="P13" s="243" t="s">
        <v>543</v>
      </c>
      <c r="Q13" s="243" t="s">
        <v>543</v>
      </c>
      <c r="R13" s="243" t="s">
        <v>543</v>
      </c>
      <c r="S13" s="243" t="s">
        <v>543</v>
      </c>
      <c r="T13" s="243" t="s">
        <v>543</v>
      </c>
      <c r="U13" s="243" t="s">
        <v>543</v>
      </c>
      <c r="V13" s="243" t="s">
        <v>543</v>
      </c>
      <c r="W13" s="243" t="str">
        <f>""</f>
        <v/>
      </c>
      <c r="Y13" s="96" t="s">
        <v>214</v>
      </c>
      <c r="Z13" s="86" t="s">
        <v>214</v>
      </c>
      <c r="AA13" s="86" t="s">
        <v>214</v>
      </c>
      <c r="AB13" s="86" t="s">
        <v>214</v>
      </c>
      <c r="AC13" s="86" t="s">
        <v>214</v>
      </c>
      <c r="AD13" s="86" t="s">
        <v>214</v>
      </c>
      <c r="AE13" s="100" t="s">
        <v>214</v>
      </c>
    </row>
    <row r="14" spans="1:31" s="89" customFormat="1" ht="14.4" x14ac:dyDescent="0.3">
      <c r="A14" s="259" t="s">
        <v>561</v>
      </c>
      <c r="B14" s="260" t="s">
        <v>565</v>
      </c>
      <c r="C14" s="260" t="s">
        <v>565</v>
      </c>
      <c r="D14" s="260" t="s">
        <v>565</v>
      </c>
      <c r="E14" s="260" t="s">
        <v>565</v>
      </c>
      <c r="F14" s="260" t="s">
        <v>565</v>
      </c>
      <c r="G14" s="260" t="s">
        <v>565</v>
      </c>
      <c r="H14" s="260" t="s">
        <v>565</v>
      </c>
      <c r="I14" s="260" t="s">
        <v>565</v>
      </c>
      <c r="J14" s="260" t="s">
        <v>565</v>
      </c>
      <c r="K14" s="260" t="s">
        <v>369</v>
      </c>
      <c r="L14" s="260" t="s">
        <v>565</v>
      </c>
      <c r="M14" s="260" t="s">
        <v>565</v>
      </c>
      <c r="N14" s="260" t="s">
        <v>565</v>
      </c>
      <c r="O14" s="260" t="s">
        <v>562</v>
      </c>
      <c r="P14" s="260" t="s">
        <v>565</v>
      </c>
      <c r="Q14" s="260" t="s">
        <v>565</v>
      </c>
      <c r="R14" s="260" t="s">
        <v>562</v>
      </c>
      <c r="S14" s="260" t="s">
        <v>562</v>
      </c>
      <c r="T14" s="260" t="s">
        <v>562</v>
      </c>
      <c r="U14" s="260" t="s">
        <v>565</v>
      </c>
      <c r="V14" s="260" t="s">
        <v>565</v>
      </c>
      <c r="W14" s="260" t="str">
        <f>""</f>
        <v/>
      </c>
      <c r="Y14" s="96" t="s">
        <v>214</v>
      </c>
      <c r="Z14" s="86" t="s">
        <v>214</v>
      </c>
      <c r="AA14" s="86" t="s">
        <v>214</v>
      </c>
      <c r="AB14" s="86" t="s">
        <v>214</v>
      </c>
      <c r="AC14" s="86" t="s">
        <v>214</v>
      </c>
      <c r="AD14" s="86" t="s">
        <v>214</v>
      </c>
      <c r="AE14" s="100" t="s">
        <v>214</v>
      </c>
    </row>
    <row r="15" spans="1:31" s="88" customFormat="1" ht="14.4" x14ac:dyDescent="0.3">
      <c r="A15" s="255" t="s">
        <v>457</v>
      </c>
      <c r="B15" s="256" t="s">
        <v>23</v>
      </c>
      <c r="C15" s="256" t="s">
        <v>545</v>
      </c>
      <c r="D15" s="256" t="s">
        <v>545</v>
      </c>
      <c r="E15" s="256" t="s">
        <v>543</v>
      </c>
      <c r="F15" s="256" t="s">
        <v>546</v>
      </c>
      <c r="G15" s="256" t="s">
        <v>546</v>
      </c>
      <c r="H15" s="256" t="s">
        <v>578</v>
      </c>
      <c r="I15" s="256" t="s">
        <v>21</v>
      </c>
      <c r="J15" s="256" t="s">
        <v>544</v>
      </c>
      <c r="K15" s="256" t="s">
        <v>369</v>
      </c>
      <c r="L15" s="256" t="s">
        <v>368</v>
      </c>
      <c r="M15" s="256" t="s">
        <v>563</v>
      </c>
      <c r="N15" s="256" t="s">
        <v>562</v>
      </c>
      <c r="O15" s="256" t="s">
        <v>562</v>
      </c>
      <c r="P15" s="256" t="s">
        <v>564</v>
      </c>
      <c r="Q15" s="256" t="s">
        <v>580</v>
      </c>
      <c r="R15" s="243" t="s">
        <v>580</v>
      </c>
      <c r="S15" s="243" t="s">
        <v>580</v>
      </c>
      <c r="T15" s="256" t="s">
        <v>581</v>
      </c>
      <c r="U15" s="256" t="s">
        <v>576</v>
      </c>
      <c r="V15" s="256" t="s">
        <v>575</v>
      </c>
      <c r="W15" s="256" t="str">
        <f>""</f>
        <v/>
      </c>
      <c r="Y15" s="95" t="s">
        <v>214</v>
      </c>
      <c r="Z15" s="90" t="s">
        <v>214</v>
      </c>
      <c r="AA15" s="90" t="s">
        <v>214</v>
      </c>
      <c r="AB15" s="90" t="s">
        <v>214</v>
      </c>
      <c r="AC15" s="90" t="s">
        <v>214</v>
      </c>
      <c r="AD15" s="90" t="s">
        <v>214</v>
      </c>
      <c r="AE15" s="101" t="s">
        <v>214</v>
      </c>
    </row>
    <row r="16" spans="1:31" ht="14.4" x14ac:dyDescent="0.3">
      <c r="A16" s="257" t="s">
        <v>455</v>
      </c>
      <c r="B16" s="243" t="s">
        <v>23</v>
      </c>
      <c r="C16" s="243" t="s">
        <v>545</v>
      </c>
      <c r="D16" s="243" t="s">
        <v>545</v>
      </c>
      <c r="E16" s="243" t="s">
        <v>543</v>
      </c>
      <c r="F16" s="243" t="s">
        <v>546</v>
      </c>
      <c r="G16" s="243" t="s">
        <v>546</v>
      </c>
      <c r="H16" s="243" t="s">
        <v>578</v>
      </c>
      <c r="I16" s="243" t="s">
        <v>21</v>
      </c>
      <c r="J16" s="243" t="s">
        <v>544</v>
      </c>
      <c r="K16" s="243" t="s">
        <v>369</v>
      </c>
      <c r="L16" s="243" t="s">
        <v>368</v>
      </c>
      <c r="M16" s="243" t="s">
        <v>563</v>
      </c>
      <c r="N16" s="243" t="s">
        <v>562</v>
      </c>
      <c r="O16" s="243" t="s">
        <v>562</v>
      </c>
      <c r="P16" s="243" t="s">
        <v>564</v>
      </c>
      <c r="Q16" s="243" t="s">
        <v>580</v>
      </c>
      <c r="R16" s="243" t="s">
        <v>580</v>
      </c>
      <c r="S16" s="243" t="s">
        <v>580</v>
      </c>
      <c r="T16" s="243" t="s">
        <v>581</v>
      </c>
      <c r="U16" s="243" t="s">
        <v>576</v>
      </c>
      <c r="V16" s="243" t="s">
        <v>575</v>
      </c>
      <c r="W16" s="243" t="str">
        <f>""</f>
        <v/>
      </c>
      <c r="Y16" s="96" t="s">
        <v>214</v>
      </c>
      <c r="Z16" s="86" t="s">
        <v>214</v>
      </c>
      <c r="AA16" s="86" t="s">
        <v>214</v>
      </c>
      <c r="AB16" s="86" t="s">
        <v>214</v>
      </c>
      <c r="AC16" s="86" t="s">
        <v>214</v>
      </c>
      <c r="AD16" s="86" t="s">
        <v>214</v>
      </c>
      <c r="AE16" s="100" t="s">
        <v>214</v>
      </c>
    </row>
    <row r="17" spans="1:31" ht="14.4" x14ac:dyDescent="0.3">
      <c r="A17" s="257" t="s">
        <v>447</v>
      </c>
      <c r="B17" s="243" t="s">
        <v>23</v>
      </c>
      <c r="C17" s="243" t="s">
        <v>545</v>
      </c>
      <c r="D17" s="243" t="s">
        <v>545</v>
      </c>
      <c r="E17" s="243" t="s">
        <v>543</v>
      </c>
      <c r="F17" s="243" t="s">
        <v>546</v>
      </c>
      <c r="G17" s="243" t="s">
        <v>546</v>
      </c>
      <c r="H17" s="243" t="s">
        <v>578</v>
      </c>
      <c r="I17" s="243" t="s">
        <v>21</v>
      </c>
      <c r="J17" s="243" t="s">
        <v>544</v>
      </c>
      <c r="K17" s="243" t="s">
        <v>369</v>
      </c>
      <c r="L17" s="243" t="s">
        <v>368</v>
      </c>
      <c r="M17" s="243" t="s">
        <v>563</v>
      </c>
      <c r="N17" s="243" t="s">
        <v>562</v>
      </c>
      <c r="O17" s="243" t="s">
        <v>562</v>
      </c>
      <c r="P17" s="243" t="s">
        <v>564</v>
      </c>
      <c r="Q17" s="243" t="s">
        <v>580</v>
      </c>
      <c r="R17" s="243" t="s">
        <v>580</v>
      </c>
      <c r="S17" s="243" t="s">
        <v>580</v>
      </c>
      <c r="T17" s="243" t="s">
        <v>581</v>
      </c>
      <c r="U17" s="243" t="s">
        <v>576</v>
      </c>
      <c r="V17" s="243" t="s">
        <v>575</v>
      </c>
      <c r="W17" s="243" t="str">
        <f>""</f>
        <v/>
      </c>
      <c r="Y17" s="96" t="s">
        <v>214</v>
      </c>
      <c r="Z17" s="86" t="s">
        <v>214</v>
      </c>
      <c r="AA17" s="86" t="s">
        <v>214</v>
      </c>
      <c r="AB17" s="86" t="s">
        <v>214</v>
      </c>
      <c r="AC17" s="86" t="s">
        <v>214</v>
      </c>
      <c r="AD17" s="86" t="s">
        <v>214</v>
      </c>
      <c r="AE17" s="100" t="s">
        <v>214</v>
      </c>
    </row>
    <row r="18" spans="1:31" ht="14.4" x14ac:dyDescent="0.3">
      <c r="A18" s="257" t="s">
        <v>456</v>
      </c>
      <c r="B18" s="243" t="s">
        <v>23</v>
      </c>
      <c r="C18" s="243" t="s">
        <v>545</v>
      </c>
      <c r="D18" s="243" t="s">
        <v>545</v>
      </c>
      <c r="E18" s="243" t="s">
        <v>543</v>
      </c>
      <c r="F18" s="243" t="s">
        <v>546</v>
      </c>
      <c r="G18" s="243" t="s">
        <v>546</v>
      </c>
      <c r="H18" s="243" t="s">
        <v>578</v>
      </c>
      <c r="I18" s="243" t="s">
        <v>21</v>
      </c>
      <c r="J18" s="243" t="s">
        <v>544</v>
      </c>
      <c r="K18" s="243" t="s">
        <v>369</v>
      </c>
      <c r="L18" s="243" t="s">
        <v>368</v>
      </c>
      <c r="M18" s="243" t="s">
        <v>563</v>
      </c>
      <c r="N18" s="243" t="s">
        <v>562</v>
      </c>
      <c r="O18" s="243" t="s">
        <v>562</v>
      </c>
      <c r="P18" s="243" t="s">
        <v>564</v>
      </c>
      <c r="Q18" s="243" t="s">
        <v>580</v>
      </c>
      <c r="R18" s="243" t="s">
        <v>580</v>
      </c>
      <c r="S18" s="243" t="s">
        <v>580</v>
      </c>
      <c r="T18" s="243" t="s">
        <v>581</v>
      </c>
      <c r="U18" s="243" t="s">
        <v>576</v>
      </c>
      <c r="V18" s="243" t="s">
        <v>575</v>
      </c>
      <c r="W18" s="243" t="str">
        <f>""</f>
        <v/>
      </c>
      <c r="Y18" s="96" t="s">
        <v>214</v>
      </c>
      <c r="Z18" s="86" t="s">
        <v>214</v>
      </c>
      <c r="AA18" s="86" t="s">
        <v>214</v>
      </c>
      <c r="AB18" s="86" t="s">
        <v>214</v>
      </c>
      <c r="AC18" s="86" t="s">
        <v>214</v>
      </c>
      <c r="AD18" s="86" t="s">
        <v>214</v>
      </c>
      <c r="AE18" s="100" t="s">
        <v>214</v>
      </c>
    </row>
    <row r="19" spans="1:31" ht="14.4" x14ac:dyDescent="0.3">
      <c r="A19" s="257" t="s">
        <v>215</v>
      </c>
      <c r="B19" s="243" t="s">
        <v>23</v>
      </c>
      <c r="C19" s="243" t="s">
        <v>545</v>
      </c>
      <c r="D19" s="243" t="s">
        <v>545</v>
      </c>
      <c r="E19" s="243" t="s">
        <v>543</v>
      </c>
      <c r="F19" s="243" t="s">
        <v>546</v>
      </c>
      <c r="G19" s="243" t="s">
        <v>546</v>
      </c>
      <c r="H19" s="243" t="s">
        <v>578</v>
      </c>
      <c r="I19" s="243" t="s">
        <v>21</v>
      </c>
      <c r="J19" s="243" t="s">
        <v>544</v>
      </c>
      <c r="K19" s="243" t="s">
        <v>369</v>
      </c>
      <c r="L19" s="243" t="s">
        <v>368</v>
      </c>
      <c r="M19" s="243" t="s">
        <v>563</v>
      </c>
      <c r="N19" s="243" t="s">
        <v>562</v>
      </c>
      <c r="O19" s="243" t="s">
        <v>562</v>
      </c>
      <c r="P19" s="243" t="s">
        <v>564</v>
      </c>
      <c r="Q19" s="243" t="s">
        <v>580</v>
      </c>
      <c r="R19" s="243" t="s">
        <v>580</v>
      </c>
      <c r="S19" s="243" t="s">
        <v>580</v>
      </c>
      <c r="T19" s="243" t="s">
        <v>581</v>
      </c>
      <c r="U19" s="243" t="s">
        <v>576</v>
      </c>
      <c r="V19" s="243" t="s">
        <v>575</v>
      </c>
      <c r="W19" s="243" t="str">
        <f>""</f>
        <v/>
      </c>
      <c r="Y19" s="96" t="s">
        <v>214</v>
      </c>
      <c r="Z19" s="86" t="s">
        <v>214</v>
      </c>
      <c r="AA19" s="86" t="s">
        <v>214</v>
      </c>
      <c r="AB19" s="86" t="s">
        <v>214</v>
      </c>
      <c r="AC19" s="86" t="s">
        <v>214</v>
      </c>
      <c r="AD19" s="86" t="s">
        <v>214</v>
      </c>
      <c r="AE19" s="100" t="s">
        <v>214</v>
      </c>
    </row>
    <row r="20" spans="1:31" ht="14.4" x14ac:dyDescent="0.3">
      <c r="A20" s="257" t="s">
        <v>549</v>
      </c>
      <c r="B20" s="243" t="s">
        <v>545</v>
      </c>
      <c r="C20" s="243" t="s">
        <v>545</v>
      </c>
      <c r="D20" s="243" t="s">
        <v>545</v>
      </c>
      <c r="E20" s="243" t="s">
        <v>545</v>
      </c>
      <c r="F20" s="258" t="s">
        <v>545</v>
      </c>
      <c r="G20" s="243" t="s">
        <v>545</v>
      </c>
      <c r="H20" s="243" t="s">
        <v>545</v>
      </c>
      <c r="I20" s="243" t="s">
        <v>545</v>
      </c>
      <c r="J20" s="243" t="s">
        <v>545</v>
      </c>
      <c r="K20" s="243" t="s">
        <v>369</v>
      </c>
      <c r="L20" s="243" t="s">
        <v>545</v>
      </c>
      <c r="M20" s="243" t="s">
        <v>545</v>
      </c>
      <c r="N20" s="258" t="s">
        <v>545</v>
      </c>
      <c r="O20" s="243" t="s">
        <v>545</v>
      </c>
      <c r="P20" s="243" t="s">
        <v>545</v>
      </c>
      <c r="Q20" s="243" t="s">
        <v>580</v>
      </c>
      <c r="R20" s="243" t="s">
        <v>580</v>
      </c>
      <c r="S20" s="243" t="s">
        <v>580</v>
      </c>
      <c r="T20" s="243" t="s">
        <v>580</v>
      </c>
      <c r="U20" s="243" t="s">
        <v>580</v>
      </c>
      <c r="V20" s="243" t="s">
        <v>580</v>
      </c>
      <c r="W20" s="243" t="str">
        <f>""</f>
        <v/>
      </c>
      <c r="Y20" s="105" t="s">
        <v>546</v>
      </c>
      <c r="Z20" s="86" t="s">
        <v>214</v>
      </c>
      <c r="AA20" s="86" t="s">
        <v>214</v>
      </c>
      <c r="AB20" s="86" t="s">
        <v>214</v>
      </c>
      <c r="AC20" s="85" t="s">
        <v>562</v>
      </c>
      <c r="AD20" s="86" t="s">
        <v>214</v>
      </c>
      <c r="AE20" s="100" t="s">
        <v>214</v>
      </c>
    </row>
    <row r="21" spans="1:31" ht="14.4" x14ac:dyDescent="0.3">
      <c r="A21" s="257" t="s">
        <v>367</v>
      </c>
      <c r="B21" s="243" t="s">
        <v>23</v>
      </c>
      <c r="C21" s="243" t="s">
        <v>23</v>
      </c>
      <c r="D21" s="243" t="s">
        <v>23</v>
      </c>
      <c r="E21" s="243" t="s">
        <v>23</v>
      </c>
      <c r="F21" s="243" t="s">
        <v>23</v>
      </c>
      <c r="G21" s="243" t="s">
        <v>23</v>
      </c>
      <c r="H21" s="243" t="s">
        <v>23</v>
      </c>
      <c r="I21" s="243" t="s">
        <v>23</v>
      </c>
      <c r="J21" s="243" t="s">
        <v>23</v>
      </c>
      <c r="K21" s="243" t="s">
        <v>23</v>
      </c>
      <c r="L21" s="243" t="s">
        <v>23</v>
      </c>
      <c r="M21" s="243" t="s">
        <v>23</v>
      </c>
      <c r="N21" s="243" t="s">
        <v>23</v>
      </c>
      <c r="O21" s="243" t="s">
        <v>23</v>
      </c>
      <c r="P21" s="243" t="s">
        <v>23</v>
      </c>
      <c r="Q21" s="243" t="s">
        <v>23</v>
      </c>
      <c r="R21" s="243" t="s">
        <v>23</v>
      </c>
      <c r="S21" s="243" t="s">
        <v>23</v>
      </c>
      <c r="T21" s="243" t="s">
        <v>23</v>
      </c>
      <c r="U21" s="243" t="s">
        <v>23</v>
      </c>
      <c r="V21" s="243" t="s">
        <v>23</v>
      </c>
      <c r="W21" s="243" t="str">
        <f>""</f>
        <v/>
      </c>
      <c r="Y21" s="96" t="s">
        <v>214</v>
      </c>
      <c r="Z21" s="86" t="s">
        <v>214</v>
      </c>
      <c r="AA21" s="86" t="s">
        <v>214</v>
      </c>
      <c r="AB21" s="86" t="s">
        <v>214</v>
      </c>
      <c r="AC21" s="86" t="s">
        <v>214</v>
      </c>
      <c r="AD21" s="86" t="s">
        <v>214</v>
      </c>
      <c r="AE21" s="100" t="s">
        <v>214</v>
      </c>
    </row>
    <row r="22" spans="1:31" ht="14.4" x14ac:dyDescent="0.3">
      <c r="A22" s="257" t="s">
        <v>449</v>
      </c>
      <c r="B22" s="243" t="s">
        <v>23</v>
      </c>
      <c r="C22" s="243" t="s">
        <v>545</v>
      </c>
      <c r="D22" s="243" t="s">
        <v>545</v>
      </c>
      <c r="E22" s="243" t="s">
        <v>543</v>
      </c>
      <c r="F22" s="243" t="s">
        <v>546</v>
      </c>
      <c r="G22" s="243" t="s">
        <v>546</v>
      </c>
      <c r="H22" s="243" t="s">
        <v>578</v>
      </c>
      <c r="I22" s="243" t="s">
        <v>21</v>
      </c>
      <c r="J22" s="243" t="s">
        <v>544</v>
      </c>
      <c r="K22" s="243" t="s">
        <v>369</v>
      </c>
      <c r="L22" s="243" t="s">
        <v>368</v>
      </c>
      <c r="M22" s="243" t="s">
        <v>563</v>
      </c>
      <c r="N22" s="243" t="s">
        <v>562</v>
      </c>
      <c r="O22" s="243" t="s">
        <v>562</v>
      </c>
      <c r="P22" s="243" t="s">
        <v>564</v>
      </c>
      <c r="Q22" s="243" t="s">
        <v>580</v>
      </c>
      <c r="R22" s="243" t="s">
        <v>580</v>
      </c>
      <c r="S22" s="243" t="s">
        <v>580</v>
      </c>
      <c r="T22" s="243" t="s">
        <v>581</v>
      </c>
      <c r="U22" s="243" t="s">
        <v>576</v>
      </c>
      <c r="V22" s="243" t="s">
        <v>575</v>
      </c>
      <c r="W22" s="243" t="str">
        <f>""</f>
        <v/>
      </c>
      <c r="Y22" s="96" t="s">
        <v>214</v>
      </c>
      <c r="Z22" s="86" t="s">
        <v>214</v>
      </c>
      <c r="AA22" s="86" t="s">
        <v>214</v>
      </c>
      <c r="AB22" s="86" t="s">
        <v>214</v>
      </c>
      <c r="AC22" s="86" t="s">
        <v>214</v>
      </c>
      <c r="AD22" s="86" t="s">
        <v>214</v>
      </c>
      <c r="AE22" s="100" t="s">
        <v>214</v>
      </c>
    </row>
    <row r="23" spans="1:31" ht="14.4" x14ac:dyDescent="0.3">
      <c r="A23" s="257" t="s">
        <v>551</v>
      </c>
      <c r="B23" s="243" t="s">
        <v>23</v>
      </c>
      <c r="C23" s="243" t="s">
        <v>545</v>
      </c>
      <c r="D23" s="243" t="s">
        <v>545</v>
      </c>
      <c r="E23" s="243" t="s">
        <v>543</v>
      </c>
      <c r="F23" s="243" t="s">
        <v>546</v>
      </c>
      <c r="G23" s="243" t="s">
        <v>546</v>
      </c>
      <c r="H23" s="243" t="s">
        <v>578</v>
      </c>
      <c r="I23" s="243" t="s">
        <v>21</v>
      </c>
      <c r="J23" s="243" t="s">
        <v>544</v>
      </c>
      <c r="K23" s="243" t="s">
        <v>369</v>
      </c>
      <c r="L23" s="243" t="s">
        <v>368</v>
      </c>
      <c r="M23" s="243" t="s">
        <v>563</v>
      </c>
      <c r="N23" s="243" t="s">
        <v>562</v>
      </c>
      <c r="O23" s="243" t="s">
        <v>562</v>
      </c>
      <c r="P23" s="243" t="s">
        <v>564</v>
      </c>
      <c r="Q23" s="243" t="s">
        <v>580</v>
      </c>
      <c r="R23" s="243" t="s">
        <v>580</v>
      </c>
      <c r="S23" s="243" t="s">
        <v>580</v>
      </c>
      <c r="T23" s="243" t="s">
        <v>581</v>
      </c>
      <c r="U23" s="243" t="s">
        <v>576</v>
      </c>
      <c r="V23" s="243" t="s">
        <v>575</v>
      </c>
      <c r="W23" s="243" t="str">
        <f>""</f>
        <v/>
      </c>
      <c r="Y23" s="96" t="s">
        <v>214</v>
      </c>
      <c r="Z23" s="86" t="s">
        <v>214</v>
      </c>
      <c r="AA23" s="86" t="s">
        <v>214</v>
      </c>
      <c r="AB23" s="86" t="s">
        <v>214</v>
      </c>
      <c r="AC23" s="86" t="s">
        <v>214</v>
      </c>
      <c r="AD23" s="86" t="s">
        <v>214</v>
      </c>
      <c r="AE23" s="100" t="s">
        <v>214</v>
      </c>
    </row>
    <row r="24" spans="1:31" ht="14.4" x14ac:dyDescent="0.3">
      <c r="A24" s="257" t="s">
        <v>553</v>
      </c>
      <c r="B24" s="243" t="s">
        <v>23</v>
      </c>
      <c r="C24" s="243" t="s">
        <v>545</v>
      </c>
      <c r="D24" s="243" t="s">
        <v>545</v>
      </c>
      <c r="E24" s="243" t="s">
        <v>543</v>
      </c>
      <c r="F24" s="243" t="s">
        <v>546</v>
      </c>
      <c r="G24" s="243" t="s">
        <v>546</v>
      </c>
      <c r="H24" s="243" t="s">
        <v>578</v>
      </c>
      <c r="I24" s="243" t="s">
        <v>21</v>
      </c>
      <c r="J24" s="243" t="s">
        <v>544</v>
      </c>
      <c r="K24" s="243" t="s">
        <v>369</v>
      </c>
      <c r="L24" s="243" t="s">
        <v>368</v>
      </c>
      <c r="M24" s="243" t="s">
        <v>563</v>
      </c>
      <c r="N24" s="243" t="s">
        <v>562</v>
      </c>
      <c r="O24" s="243" t="s">
        <v>562</v>
      </c>
      <c r="P24" s="243" t="s">
        <v>564</v>
      </c>
      <c r="Q24" s="243" t="s">
        <v>580</v>
      </c>
      <c r="R24" s="243" t="s">
        <v>580</v>
      </c>
      <c r="S24" s="243" t="s">
        <v>580</v>
      </c>
      <c r="T24" s="243" t="s">
        <v>581</v>
      </c>
      <c r="U24" s="243" t="s">
        <v>576</v>
      </c>
      <c r="V24" s="243" t="s">
        <v>575</v>
      </c>
      <c r="W24" s="243" t="str">
        <f>""</f>
        <v/>
      </c>
      <c r="Y24" s="96" t="s">
        <v>214</v>
      </c>
      <c r="Z24" s="86" t="s">
        <v>214</v>
      </c>
      <c r="AA24" s="86" t="s">
        <v>214</v>
      </c>
      <c r="AB24" s="86" t="s">
        <v>214</v>
      </c>
      <c r="AC24" s="86" t="s">
        <v>214</v>
      </c>
      <c r="AD24" s="86" t="s">
        <v>214</v>
      </c>
      <c r="AE24" s="100" t="s">
        <v>214</v>
      </c>
    </row>
    <row r="25" spans="1:31" s="89" customFormat="1" ht="14.4" x14ac:dyDescent="0.3">
      <c r="A25" s="261" t="s">
        <v>558</v>
      </c>
      <c r="B25" s="260" t="s">
        <v>562</v>
      </c>
      <c r="C25" s="260" t="s">
        <v>562</v>
      </c>
      <c r="D25" s="260" t="s">
        <v>562</v>
      </c>
      <c r="E25" s="260" t="s">
        <v>562</v>
      </c>
      <c r="F25" s="260" t="s">
        <v>562</v>
      </c>
      <c r="G25" s="260" t="s">
        <v>562</v>
      </c>
      <c r="H25" s="260" t="s">
        <v>562</v>
      </c>
      <c r="I25" s="260" t="s">
        <v>562</v>
      </c>
      <c r="J25" s="260" t="s">
        <v>562</v>
      </c>
      <c r="K25" s="260" t="s">
        <v>369</v>
      </c>
      <c r="L25" s="260" t="s">
        <v>562</v>
      </c>
      <c r="M25" s="260" t="s">
        <v>562</v>
      </c>
      <c r="N25" s="260" t="s">
        <v>562</v>
      </c>
      <c r="O25" s="260" t="s">
        <v>562</v>
      </c>
      <c r="P25" s="260" t="s">
        <v>562</v>
      </c>
      <c r="Q25" s="260" t="s">
        <v>562</v>
      </c>
      <c r="R25" s="260" t="s">
        <v>562</v>
      </c>
      <c r="S25" s="260" t="s">
        <v>562</v>
      </c>
      <c r="T25" s="260" t="s">
        <v>562</v>
      </c>
      <c r="U25" s="260" t="s">
        <v>562</v>
      </c>
      <c r="V25" s="260" t="s">
        <v>562</v>
      </c>
      <c r="W25" s="260" t="str">
        <f>""</f>
        <v/>
      </c>
      <c r="Y25" s="98" t="s">
        <v>214</v>
      </c>
      <c r="Z25" s="91" t="s">
        <v>214</v>
      </c>
      <c r="AA25" s="91" t="s">
        <v>214</v>
      </c>
      <c r="AB25" s="91" t="s">
        <v>214</v>
      </c>
      <c r="AC25" s="91" t="s">
        <v>214</v>
      </c>
      <c r="AD25" s="91" t="s">
        <v>214</v>
      </c>
      <c r="AE25" s="102" t="s">
        <v>214</v>
      </c>
    </row>
    <row r="26" spans="1:31" s="88" customFormat="1" ht="14.4" x14ac:dyDescent="0.3">
      <c r="A26" s="262" t="s">
        <v>311</v>
      </c>
      <c r="B26" s="256" t="s">
        <v>21</v>
      </c>
      <c r="C26" s="256" t="s">
        <v>579</v>
      </c>
      <c r="D26" s="256" t="s">
        <v>581</v>
      </c>
      <c r="E26" s="256" t="s">
        <v>22</v>
      </c>
      <c r="F26" s="256" t="s">
        <v>21</v>
      </c>
      <c r="G26" s="256" t="s">
        <v>21</v>
      </c>
      <c r="H26" s="256" t="s">
        <v>542</v>
      </c>
      <c r="I26" s="256" t="s">
        <v>21</v>
      </c>
      <c r="J26" s="256" t="s">
        <v>575</v>
      </c>
      <c r="K26" s="256" t="s">
        <v>369</v>
      </c>
      <c r="L26" s="256" t="s">
        <v>576</v>
      </c>
      <c r="M26" s="256" t="s">
        <v>21</v>
      </c>
      <c r="N26" s="256" t="s">
        <v>21</v>
      </c>
      <c r="O26" s="256" t="s">
        <v>21</v>
      </c>
      <c r="P26" s="263" t="s">
        <v>576</v>
      </c>
      <c r="Q26" s="256" t="s">
        <v>579</v>
      </c>
      <c r="R26" s="256" t="s">
        <v>597</v>
      </c>
      <c r="S26" s="256" t="s">
        <v>581</v>
      </c>
      <c r="T26" s="256" t="s">
        <v>21</v>
      </c>
      <c r="U26" s="256" t="s">
        <v>21</v>
      </c>
      <c r="V26" s="256" t="s">
        <v>576</v>
      </c>
      <c r="W26" s="256" t="str">
        <f>""</f>
        <v/>
      </c>
      <c r="Y26" s="96" t="s">
        <v>214</v>
      </c>
      <c r="Z26" s="86" t="s">
        <v>214</v>
      </c>
      <c r="AA26" s="86" t="s">
        <v>214</v>
      </c>
      <c r="AB26" s="86" t="s">
        <v>214</v>
      </c>
      <c r="AC26" s="86" t="s">
        <v>214</v>
      </c>
      <c r="AD26" s="85" t="s">
        <v>563</v>
      </c>
      <c r="AE26" s="100" t="s">
        <v>214</v>
      </c>
    </row>
    <row r="27" spans="1:31" ht="14.4" x14ac:dyDescent="0.3">
      <c r="A27" s="264" t="s">
        <v>462</v>
      </c>
      <c r="B27" s="243" t="s">
        <v>23</v>
      </c>
      <c r="C27" s="243" t="s">
        <v>579</v>
      </c>
      <c r="D27" s="243" t="s">
        <v>23</v>
      </c>
      <c r="E27" s="243" t="s">
        <v>22</v>
      </c>
      <c r="F27" s="243" t="s">
        <v>542</v>
      </c>
      <c r="G27" s="243" t="s">
        <v>546</v>
      </c>
      <c r="H27" s="243" t="s">
        <v>542</v>
      </c>
      <c r="I27" s="243" t="s">
        <v>21</v>
      </c>
      <c r="J27" s="243" t="s">
        <v>575</v>
      </c>
      <c r="K27" s="243" t="s">
        <v>369</v>
      </c>
      <c r="L27" s="243" t="s">
        <v>576</v>
      </c>
      <c r="M27" s="243" t="s">
        <v>563</v>
      </c>
      <c r="N27" s="243" t="s">
        <v>565</v>
      </c>
      <c r="O27" s="243" t="s">
        <v>562</v>
      </c>
      <c r="P27" s="265" t="s">
        <v>563</v>
      </c>
      <c r="Q27" s="243" t="s">
        <v>579</v>
      </c>
      <c r="R27" s="243" t="s">
        <v>597</v>
      </c>
      <c r="S27" s="243" t="s">
        <v>562</v>
      </c>
      <c r="T27" s="243" t="s">
        <v>581</v>
      </c>
      <c r="U27" s="243" t="s">
        <v>576</v>
      </c>
      <c r="V27" s="243" t="s">
        <v>576</v>
      </c>
      <c r="W27" s="243" t="str">
        <f>""</f>
        <v/>
      </c>
      <c r="Y27" s="96" t="s">
        <v>214</v>
      </c>
      <c r="Z27" s="86" t="s">
        <v>214</v>
      </c>
      <c r="AA27" s="86" t="s">
        <v>214</v>
      </c>
      <c r="AB27" s="86" t="s">
        <v>214</v>
      </c>
      <c r="AC27" s="86" t="s">
        <v>214</v>
      </c>
      <c r="AD27" s="86" t="s">
        <v>214</v>
      </c>
      <c r="AE27" s="100" t="s">
        <v>214</v>
      </c>
    </row>
    <row r="28" spans="1:31" ht="14.4" x14ac:dyDescent="0.3">
      <c r="A28" s="266" t="s">
        <v>271</v>
      </c>
      <c r="B28" s="243" t="s">
        <v>21</v>
      </c>
      <c r="C28" s="243" t="s">
        <v>579</v>
      </c>
      <c r="D28" s="243" t="s">
        <v>21</v>
      </c>
      <c r="E28" s="243" t="s">
        <v>579</v>
      </c>
      <c r="F28" s="243" t="s">
        <v>21</v>
      </c>
      <c r="G28" s="243" t="s">
        <v>21</v>
      </c>
      <c r="H28" s="243" t="s">
        <v>21</v>
      </c>
      <c r="I28" s="243" t="s">
        <v>21</v>
      </c>
      <c r="J28" s="243" t="s">
        <v>576</v>
      </c>
      <c r="K28" s="243" t="s">
        <v>369</v>
      </c>
      <c r="L28" s="243" t="s">
        <v>576</v>
      </c>
      <c r="M28" s="243" t="s">
        <v>21</v>
      </c>
      <c r="N28" s="243" t="s">
        <v>21</v>
      </c>
      <c r="O28" s="243" t="s">
        <v>21</v>
      </c>
      <c r="P28" s="258" t="s">
        <v>21</v>
      </c>
      <c r="Q28" s="243" t="s">
        <v>579</v>
      </c>
      <c r="R28" s="243" t="s">
        <v>597</v>
      </c>
      <c r="S28" s="243" t="s">
        <v>21</v>
      </c>
      <c r="T28" s="243" t="s">
        <v>21</v>
      </c>
      <c r="U28" s="243" t="s">
        <v>21</v>
      </c>
      <c r="V28" s="258" t="s">
        <v>21</v>
      </c>
      <c r="W28" s="243" t="str">
        <f>""</f>
        <v/>
      </c>
      <c r="Y28" s="96" t="s">
        <v>214</v>
      </c>
      <c r="Z28" s="86" t="s">
        <v>214</v>
      </c>
      <c r="AA28" s="86" t="s">
        <v>214</v>
      </c>
      <c r="AB28" s="86" t="s">
        <v>214</v>
      </c>
      <c r="AC28" s="86" t="s">
        <v>214</v>
      </c>
      <c r="AD28" s="85" t="s">
        <v>563</v>
      </c>
      <c r="AE28" s="97" t="s">
        <v>576</v>
      </c>
    </row>
    <row r="29" spans="1:31" ht="14.4" x14ac:dyDescent="0.3">
      <c r="A29" s="266" t="s">
        <v>273</v>
      </c>
      <c r="B29" s="243" t="s">
        <v>21</v>
      </c>
      <c r="C29" s="243" t="s">
        <v>579</v>
      </c>
      <c r="D29" s="243" t="s">
        <v>581</v>
      </c>
      <c r="E29" s="243" t="s">
        <v>579</v>
      </c>
      <c r="F29" s="243" t="s">
        <v>21</v>
      </c>
      <c r="G29" s="243" t="s">
        <v>21</v>
      </c>
      <c r="H29" s="243" t="s">
        <v>542</v>
      </c>
      <c r="I29" s="243" t="s">
        <v>21</v>
      </c>
      <c r="J29" s="243" t="s">
        <v>575</v>
      </c>
      <c r="K29" s="243" t="s">
        <v>369</v>
      </c>
      <c r="L29" s="243" t="s">
        <v>576</v>
      </c>
      <c r="M29" s="243" t="s">
        <v>21</v>
      </c>
      <c r="N29" s="243" t="s">
        <v>21</v>
      </c>
      <c r="O29" s="243" t="s">
        <v>21</v>
      </c>
      <c r="P29" s="258" t="s">
        <v>21</v>
      </c>
      <c r="Q29" s="243" t="s">
        <v>579</v>
      </c>
      <c r="R29" s="243" t="s">
        <v>597</v>
      </c>
      <c r="S29" s="243" t="s">
        <v>21</v>
      </c>
      <c r="T29" s="243" t="s">
        <v>21</v>
      </c>
      <c r="U29" s="243" t="s">
        <v>21</v>
      </c>
      <c r="V29" s="258" t="s">
        <v>21</v>
      </c>
      <c r="W29" s="243" t="str">
        <f>""</f>
        <v/>
      </c>
      <c r="Y29" s="96" t="s">
        <v>214</v>
      </c>
      <c r="Z29" s="86" t="s">
        <v>214</v>
      </c>
      <c r="AA29" s="86" t="s">
        <v>214</v>
      </c>
      <c r="AB29" s="86" t="s">
        <v>214</v>
      </c>
      <c r="AC29" s="86" t="s">
        <v>214</v>
      </c>
      <c r="AD29" s="85" t="s">
        <v>563</v>
      </c>
      <c r="AE29" s="97" t="s">
        <v>576</v>
      </c>
    </row>
    <row r="30" spans="1:31" ht="14.4" x14ac:dyDescent="0.3">
      <c r="A30" s="266" t="s">
        <v>278</v>
      </c>
      <c r="B30" s="243" t="s">
        <v>21</v>
      </c>
      <c r="C30" s="243" t="s">
        <v>579</v>
      </c>
      <c r="D30" s="243" t="s">
        <v>21</v>
      </c>
      <c r="E30" s="243" t="s">
        <v>579</v>
      </c>
      <c r="F30" s="243" t="s">
        <v>21</v>
      </c>
      <c r="G30" s="243" t="s">
        <v>21</v>
      </c>
      <c r="H30" s="243" t="s">
        <v>21</v>
      </c>
      <c r="I30" s="243" t="s">
        <v>21</v>
      </c>
      <c r="J30" s="243" t="s">
        <v>575</v>
      </c>
      <c r="K30" s="243" t="s">
        <v>369</v>
      </c>
      <c r="L30" s="243" t="s">
        <v>576</v>
      </c>
      <c r="M30" s="243" t="s">
        <v>21</v>
      </c>
      <c r="N30" s="243" t="s">
        <v>21</v>
      </c>
      <c r="O30" s="243" t="s">
        <v>21</v>
      </c>
      <c r="P30" s="258" t="s">
        <v>21</v>
      </c>
      <c r="Q30" s="243" t="s">
        <v>579</v>
      </c>
      <c r="R30" s="243" t="s">
        <v>597</v>
      </c>
      <c r="S30" s="243" t="s">
        <v>21</v>
      </c>
      <c r="T30" s="243" t="s">
        <v>21</v>
      </c>
      <c r="U30" s="243" t="s">
        <v>21</v>
      </c>
      <c r="V30" s="258" t="s">
        <v>21</v>
      </c>
      <c r="W30" s="243" t="str">
        <f>""</f>
        <v/>
      </c>
      <c r="Y30" s="96" t="s">
        <v>214</v>
      </c>
      <c r="Z30" s="86" t="s">
        <v>214</v>
      </c>
      <c r="AA30" s="86" t="s">
        <v>214</v>
      </c>
      <c r="AB30" s="86" t="s">
        <v>214</v>
      </c>
      <c r="AC30" s="86" t="s">
        <v>214</v>
      </c>
      <c r="AD30" s="85" t="s">
        <v>563</v>
      </c>
      <c r="AE30" s="97" t="s">
        <v>576</v>
      </c>
    </row>
    <row r="31" spans="1:31" ht="14.4" x14ac:dyDescent="0.3">
      <c r="A31" s="266" t="s">
        <v>282</v>
      </c>
      <c r="B31" s="243" t="s">
        <v>21</v>
      </c>
      <c r="C31" s="243" t="s">
        <v>579</v>
      </c>
      <c r="D31" s="243" t="s">
        <v>581</v>
      </c>
      <c r="E31" s="243" t="s">
        <v>579</v>
      </c>
      <c r="F31" s="243" t="s">
        <v>21</v>
      </c>
      <c r="G31" s="243" t="s">
        <v>21</v>
      </c>
      <c r="H31" s="243" t="s">
        <v>542</v>
      </c>
      <c r="I31" s="243" t="s">
        <v>21</v>
      </c>
      <c r="J31" s="243" t="s">
        <v>576</v>
      </c>
      <c r="K31" s="243" t="s">
        <v>369</v>
      </c>
      <c r="L31" s="243" t="s">
        <v>576</v>
      </c>
      <c r="M31" s="243" t="s">
        <v>21</v>
      </c>
      <c r="N31" s="243" t="s">
        <v>21</v>
      </c>
      <c r="O31" s="243" t="s">
        <v>21</v>
      </c>
      <c r="P31" s="258" t="s">
        <v>21</v>
      </c>
      <c r="Q31" s="243" t="s">
        <v>579</v>
      </c>
      <c r="R31" s="243" t="s">
        <v>597</v>
      </c>
      <c r="S31" s="243" t="s">
        <v>21</v>
      </c>
      <c r="T31" s="243" t="s">
        <v>21</v>
      </c>
      <c r="U31" s="243" t="s">
        <v>21</v>
      </c>
      <c r="V31" s="258" t="s">
        <v>21</v>
      </c>
      <c r="W31" s="243" t="str">
        <f>""</f>
        <v/>
      </c>
      <c r="Y31" s="96" t="s">
        <v>214</v>
      </c>
      <c r="Z31" s="86" t="s">
        <v>214</v>
      </c>
      <c r="AA31" s="86" t="s">
        <v>214</v>
      </c>
      <c r="AB31" s="86" t="s">
        <v>214</v>
      </c>
      <c r="AC31" s="86" t="s">
        <v>214</v>
      </c>
      <c r="AD31" s="85" t="s">
        <v>563</v>
      </c>
      <c r="AE31" s="97" t="s">
        <v>576</v>
      </c>
    </row>
    <row r="32" spans="1:31" ht="14.4" x14ac:dyDescent="0.3">
      <c r="A32" s="264" t="s">
        <v>275</v>
      </c>
      <c r="B32" s="243" t="s">
        <v>21</v>
      </c>
      <c r="C32" s="243" t="s">
        <v>579</v>
      </c>
      <c r="D32" s="243" t="s">
        <v>581</v>
      </c>
      <c r="E32" s="243" t="s">
        <v>579</v>
      </c>
      <c r="F32" s="243" t="s">
        <v>21</v>
      </c>
      <c r="G32" s="243" t="s">
        <v>21</v>
      </c>
      <c r="H32" s="243" t="s">
        <v>21</v>
      </c>
      <c r="I32" s="243" t="s">
        <v>21</v>
      </c>
      <c r="J32" s="243" t="s">
        <v>576</v>
      </c>
      <c r="K32" s="243" t="s">
        <v>369</v>
      </c>
      <c r="L32" s="243" t="s">
        <v>576</v>
      </c>
      <c r="M32" s="243" t="s">
        <v>21</v>
      </c>
      <c r="N32" s="243" t="s">
        <v>21</v>
      </c>
      <c r="O32" s="243" t="s">
        <v>21</v>
      </c>
      <c r="P32" s="258" t="s">
        <v>576</v>
      </c>
      <c r="Q32" s="243" t="s">
        <v>579</v>
      </c>
      <c r="R32" s="243" t="s">
        <v>597</v>
      </c>
      <c r="S32" s="243" t="s">
        <v>21</v>
      </c>
      <c r="T32" s="243" t="s">
        <v>21</v>
      </c>
      <c r="U32" s="243" t="s">
        <v>21</v>
      </c>
      <c r="V32" s="258" t="s">
        <v>21</v>
      </c>
      <c r="W32" s="243" t="str">
        <f>""</f>
        <v/>
      </c>
      <c r="Y32" s="96" t="s">
        <v>214</v>
      </c>
      <c r="Z32" s="86" t="s">
        <v>214</v>
      </c>
      <c r="AA32" s="86" t="s">
        <v>214</v>
      </c>
      <c r="AB32" s="86" t="s">
        <v>214</v>
      </c>
      <c r="AC32" s="86" t="s">
        <v>214</v>
      </c>
      <c r="AD32" s="85" t="s">
        <v>563</v>
      </c>
      <c r="AE32" s="97" t="s">
        <v>576</v>
      </c>
    </row>
    <row r="33" spans="1:31" ht="14.4" x14ac:dyDescent="0.3">
      <c r="A33" s="264" t="s">
        <v>459</v>
      </c>
      <c r="B33" s="243" t="s">
        <v>21</v>
      </c>
      <c r="C33" s="243" t="s">
        <v>579</v>
      </c>
      <c r="D33" s="243" t="s">
        <v>581</v>
      </c>
      <c r="E33" s="243" t="s">
        <v>579</v>
      </c>
      <c r="F33" s="243" t="s">
        <v>21</v>
      </c>
      <c r="G33" s="243" t="s">
        <v>21</v>
      </c>
      <c r="H33" s="243" t="s">
        <v>21</v>
      </c>
      <c r="I33" s="243" t="s">
        <v>21</v>
      </c>
      <c r="J33" s="243" t="s">
        <v>576</v>
      </c>
      <c r="K33" s="243" t="s">
        <v>369</v>
      </c>
      <c r="L33" s="243" t="s">
        <v>576</v>
      </c>
      <c r="M33" s="243" t="s">
        <v>21</v>
      </c>
      <c r="N33" s="243" t="s">
        <v>21</v>
      </c>
      <c r="O33" s="243" t="s">
        <v>21</v>
      </c>
      <c r="P33" s="258" t="s">
        <v>21</v>
      </c>
      <c r="Q33" s="243" t="s">
        <v>579</v>
      </c>
      <c r="R33" s="243" t="s">
        <v>597</v>
      </c>
      <c r="S33" s="243" t="s">
        <v>21</v>
      </c>
      <c r="T33" s="243" t="s">
        <v>21</v>
      </c>
      <c r="U33" s="243" t="s">
        <v>21</v>
      </c>
      <c r="V33" s="243" t="s">
        <v>21</v>
      </c>
      <c r="W33" s="243" t="str">
        <f>""</f>
        <v/>
      </c>
      <c r="Y33" s="96" t="s">
        <v>214</v>
      </c>
      <c r="Z33" s="86" t="s">
        <v>214</v>
      </c>
      <c r="AA33" s="86" t="s">
        <v>214</v>
      </c>
      <c r="AB33" s="86" t="s">
        <v>214</v>
      </c>
      <c r="AC33" s="86" t="s">
        <v>214</v>
      </c>
      <c r="AD33" s="85" t="s">
        <v>563</v>
      </c>
      <c r="AE33" s="100" t="s">
        <v>214</v>
      </c>
    </row>
    <row r="34" spans="1:31" ht="14.4" x14ac:dyDescent="0.3">
      <c r="A34" s="266" t="s">
        <v>286</v>
      </c>
      <c r="B34" s="243" t="s">
        <v>21</v>
      </c>
      <c r="C34" s="243" t="s">
        <v>579</v>
      </c>
      <c r="D34" s="243" t="s">
        <v>581</v>
      </c>
      <c r="E34" s="243" t="s">
        <v>22</v>
      </c>
      <c r="F34" s="243" t="s">
        <v>21</v>
      </c>
      <c r="G34" s="243" t="s">
        <v>21</v>
      </c>
      <c r="H34" s="243" t="s">
        <v>21</v>
      </c>
      <c r="I34" s="243" t="s">
        <v>21</v>
      </c>
      <c r="J34" s="243" t="s">
        <v>575</v>
      </c>
      <c r="K34" s="243" t="s">
        <v>369</v>
      </c>
      <c r="L34" s="243" t="s">
        <v>576</v>
      </c>
      <c r="M34" s="243" t="s">
        <v>21</v>
      </c>
      <c r="N34" s="243" t="s">
        <v>21</v>
      </c>
      <c r="O34" s="243" t="s">
        <v>21</v>
      </c>
      <c r="P34" s="258" t="s">
        <v>576</v>
      </c>
      <c r="Q34" s="243" t="s">
        <v>579</v>
      </c>
      <c r="R34" s="243" t="s">
        <v>597</v>
      </c>
      <c r="S34" s="243" t="s">
        <v>581</v>
      </c>
      <c r="T34" s="243" t="s">
        <v>21</v>
      </c>
      <c r="U34" s="243" t="s">
        <v>21</v>
      </c>
      <c r="V34" s="243" t="s">
        <v>576</v>
      </c>
      <c r="W34" s="243" t="str">
        <f>""</f>
        <v/>
      </c>
      <c r="Y34" s="96" t="s">
        <v>214</v>
      </c>
      <c r="Z34" s="86" t="s">
        <v>214</v>
      </c>
      <c r="AA34" s="86" t="s">
        <v>214</v>
      </c>
      <c r="AB34" s="86" t="s">
        <v>214</v>
      </c>
      <c r="AC34" s="86" t="s">
        <v>214</v>
      </c>
      <c r="AD34" s="85" t="s">
        <v>563</v>
      </c>
      <c r="AE34" s="100" t="s">
        <v>214</v>
      </c>
    </row>
    <row r="35" spans="1:31" ht="14.4" x14ac:dyDescent="0.3">
      <c r="A35" s="266" t="s">
        <v>272</v>
      </c>
      <c r="B35" s="243" t="s">
        <v>21</v>
      </c>
      <c r="C35" s="243" t="s">
        <v>579</v>
      </c>
      <c r="D35" s="243" t="s">
        <v>21</v>
      </c>
      <c r="E35" s="243" t="s">
        <v>579</v>
      </c>
      <c r="F35" s="243" t="s">
        <v>21</v>
      </c>
      <c r="G35" s="243" t="s">
        <v>21</v>
      </c>
      <c r="H35" s="243" t="s">
        <v>21</v>
      </c>
      <c r="I35" s="243" t="s">
        <v>21</v>
      </c>
      <c r="J35" s="243" t="s">
        <v>576</v>
      </c>
      <c r="K35" s="243" t="s">
        <v>369</v>
      </c>
      <c r="L35" s="243" t="s">
        <v>576</v>
      </c>
      <c r="M35" s="243" t="s">
        <v>21</v>
      </c>
      <c r="N35" s="243" t="s">
        <v>21</v>
      </c>
      <c r="O35" s="243" t="s">
        <v>21</v>
      </c>
      <c r="P35" s="258" t="s">
        <v>21</v>
      </c>
      <c r="Q35" s="243" t="s">
        <v>579</v>
      </c>
      <c r="R35" s="243" t="s">
        <v>597</v>
      </c>
      <c r="S35" s="243" t="s">
        <v>581</v>
      </c>
      <c r="T35" s="243" t="s">
        <v>581</v>
      </c>
      <c r="U35" s="243" t="s">
        <v>576</v>
      </c>
      <c r="V35" s="243" t="s">
        <v>576</v>
      </c>
      <c r="W35" s="243" t="str">
        <f>""</f>
        <v/>
      </c>
      <c r="Y35" s="96" t="s">
        <v>214</v>
      </c>
      <c r="Z35" s="86" t="s">
        <v>214</v>
      </c>
      <c r="AA35" s="86" t="s">
        <v>214</v>
      </c>
      <c r="AB35" s="86" t="s">
        <v>214</v>
      </c>
      <c r="AC35" s="86" t="s">
        <v>214</v>
      </c>
      <c r="AD35" s="85" t="s">
        <v>563</v>
      </c>
      <c r="AE35" s="100" t="s">
        <v>214</v>
      </c>
    </row>
    <row r="36" spans="1:31" ht="14.4" x14ac:dyDescent="0.3">
      <c r="A36" s="266" t="s">
        <v>283</v>
      </c>
      <c r="B36" s="243" t="s">
        <v>369</v>
      </c>
      <c r="C36" s="243" t="s">
        <v>369</v>
      </c>
      <c r="D36" s="243" t="s">
        <v>369</v>
      </c>
      <c r="E36" s="243" t="s">
        <v>369</v>
      </c>
      <c r="F36" s="243" t="s">
        <v>369</v>
      </c>
      <c r="G36" s="243" t="s">
        <v>369</v>
      </c>
      <c r="H36" s="243" t="s">
        <v>369</v>
      </c>
      <c r="I36" s="243" t="s">
        <v>369</v>
      </c>
      <c r="J36" s="258" t="s">
        <v>369</v>
      </c>
      <c r="K36" s="243" t="s">
        <v>369</v>
      </c>
      <c r="L36" s="258" t="s">
        <v>369</v>
      </c>
      <c r="M36" s="243" t="s">
        <v>369</v>
      </c>
      <c r="N36" s="243" t="s">
        <v>369</v>
      </c>
      <c r="O36" s="243" t="s">
        <v>369</v>
      </c>
      <c r="P36" s="265" t="s">
        <v>369</v>
      </c>
      <c r="Q36" s="243" t="s">
        <v>369</v>
      </c>
      <c r="R36" s="243" t="s">
        <v>369</v>
      </c>
      <c r="S36" s="243" t="s">
        <v>369</v>
      </c>
      <c r="T36" s="243" t="s">
        <v>369</v>
      </c>
      <c r="U36" s="243" t="s">
        <v>369</v>
      </c>
      <c r="V36" s="243" t="s">
        <v>369</v>
      </c>
      <c r="W36" s="243" t="str">
        <f>""</f>
        <v/>
      </c>
      <c r="Y36" s="96" t="s">
        <v>214</v>
      </c>
      <c r="Z36" s="85" t="s">
        <v>575</v>
      </c>
      <c r="AA36" s="86" t="s">
        <v>214</v>
      </c>
      <c r="AB36" s="85" t="s">
        <v>576</v>
      </c>
      <c r="AC36" s="86" t="s">
        <v>214</v>
      </c>
      <c r="AD36" s="86" t="s">
        <v>214</v>
      </c>
      <c r="AE36" s="100" t="s">
        <v>214</v>
      </c>
    </row>
    <row r="37" spans="1:31" ht="14.4" x14ac:dyDescent="0.3">
      <c r="A37" s="264" t="s">
        <v>550</v>
      </c>
      <c r="B37" s="243" t="s">
        <v>21</v>
      </c>
      <c r="C37" s="243" t="s">
        <v>579</v>
      </c>
      <c r="D37" s="243" t="s">
        <v>21</v>
      </c>
      <c r="E37" s="243" t="s">
        <v>579</v>
      </c>
      <c r="F37" s="243" t="s">
        <v>21</v>
      </c>
      <c r="G37" s="243" t="s">
        <v>21</v>
      </c>
      <c r="H37" s="243" t="s">
        <v>542</v>
      </c>
      <c r="I37" s="243" t="s">
        <v>21</v>
      </c>
      <c r="J37" s="243" t="s">
        <v>575</v>
      </c>
      <c r="K37" s="243" t="s">
        <v>369</v>
      </c>
      <c r="L37" s="243" t="s">
        <v>576</v>
      </c>
      <c r="M37" s="243" t="s">
        <v>21</v>
      </c>
      <c r="N37" s="243" t="s">
        <v>21</v>
      </c>
      <c r="O37" s="243" t="s">
        <v>21</v>
      </c>
      <c r="P37" s="258" t="s">
        <v>21</v>
      </c>
      <c r="Q37" s="243" t="s">
        <v>579</v>
      </c>
      <c r="R37" s="243" t="s">
        <v>597</v>
      </c>
      <c r="S37" s="243" t="s">
        <v>581</v>
      </c>
      <c r="T37" s="243" t="s">
        <v>581</v>
      </c>
      <c r="U37" s="243" t="s">
        <v>576</v>
      </c>
      <c r="V37" s="243" t="s">
        <v>575</v>
      </c>
      <c r="W37" s="243" t="str">
        <f>""</f>
        <v/>
      </c>
      <c r="Y37" s="96" t="s">
        <v>214</v>
      </c>
      <c r="Z37" s="86" t="s">
        <v>214</v>
      </c>
      <c r="AA37" s="86" t="s">
        <v>214</v>
      </c>
      <c r="AB37" s="86" t="s">
        <v>214</v>
      </c>
      <c r="AC37" s="86" t="s">
        <v>214</v>
      </c>
      <c r="AD37" s="85" t="s">
        <v>563</v>
      </c>
      <c r="AE37" s="100" t="s">
        <v>214</v>
      </c>
    </row>
    <row r="38" spans="1:31" ht="14.4" x14ac:dyDescent="0.3">
      <c r="A38" s="264" t="s">
        <v>461</v>
      </c>
      <c r="B38" s="243" t="s">
        <v>21</v>
      </c>
      <c r="C38" s="243" t="s">
        <v>579</v>
      </c>
      <c r="D38" s="243" t="s">
        <v>581</v>
      </c>
      <c r="E38" s="243" t="s">
        <v>579</v>
      </c>
      <c r="F38" s="243" t="s">
        <v>21</v>
      </c>
      <c r="G38" s="243" t="s">
        <v>21</v>
      </c>
      <c r="H38" s="243" t="s">
        <v>21</v>
      </c>
      <c r="I38" s="243" t="s">
        <v>21</v>
      </c>
      <c r="J38" s="243" t="s">
        <v>575</v>
      </c>
      <c r="K38" s="243" t="s">
        <v>369</v>
      </c>
      <c r="L38" s="243" t="s">
        <v>576</v>
      </c>
      <c r="M38" s="243" t="s">
        <v>21</v>
      </c>
      <c r="N38" s="243" t="s">
        <v>21</v>
      </c>
      <c r="O38" s="243" t="s">
        <v>21</v>
      </c>
      <c r="P38" s="258" t="s">
        <v>21</v>
      </c>
      <c r="Q38" s="243" t="s">
        <v>579</v>
      </c>
      <c r="R38" s="243" t="s">
        <v>597</v>
      </c>
      <c r="S38" s="243" t="s">
        <v>21</v>
      </c>
      <c r="T38" s="243" t="s">
        <v>21</v>
      </c>
      <c r="U38" s="243" t="s">
        <v>21</v>
      </c>
      <c r="V38" s="258" t="s">
        <v>21</v>
      </c>
      <c r="W38" s="243" t="str">
        <f>""</f>
        <v/>
      </c>
      <c r="Y38" s="96" t="s">
        <v>214</v>
      </c>
      <c r="Z38" s="86" t="s">
        <v>214</v>
      </c>
      <c r="AA38" s="86" t="s">
        <v>214</v>
      </c>
      <c r="AB38" s="86" t="s">
        <v>214</v>
      </c>
      <c r="AC38" s="86" t="s">
        <v>214</v>
      </c>
      <c r="AD38" s="85" t="s">
        <v>563</v>
      </c>
      <c r="AE38" s="97" t="s">
        <v>576</v>
      </c>
    </row>
    <row r="39" spans="1:31" ht="14.4" x14ac:dyDescent="0.3">
      <c r="A39" s="266" t="s">
        <v>472</v>
      </c>
      <c r="B39" s="243" t="s">
        <v>21</v>
      </c>
      <c r="C39" s="243" t="s">
        <v>579</v>
      </c>
      <c r="D39" s="243" t="s">
        <v>581</v>
      </c>
      <c r="E39" s="243" t="s">
        <v>579</v>
      </c>
      <c r="F39" s="243" t="s">
        <v>21</v>
      </c>
      <c r="G39" s="243" t="s">
        <v>21</v>
      </c>
      <c r="H39" s="243" t="s">
        <v>21</v>
      </c>
      <c r="I39" s="243" t="s">
        <v>21</v>
      </c>
      <c r="J39" s="258" t="s">
        <v>21</v>
      </c>
      <c r="K39" s="243" t="s">
        <v>369</v>
      </c>
      <c r="L39" s="243" t="s">
        <v>576</v>
      </c>
      <c r="M39" s="243" t="s">
        <v>21</v>
      </c>
      <c r="N39" s="243" t="s">
        <v>21</v>
      </c>
      <c r="O39" s="243" t="s">
        <v>21</v>
      </c>
      <c r="P39" s="258" t="s">
        <v>21</v>
      </c>
      <c r="Q39" s="243" t="s">
        <v>579</v>
      </c>
      <c r="R39" s="243" t="s">
        <v>597</v>
      </c>
      <c r="S39" s="243" t="s">
        <v>21</v>
      </c>
      <c r="T39" s="243" t="s">
        <v>21</v>
      </c>
      <c r="U39" s="243" t="s">
        <v>21</v>
      </c>
      <c r="V39" s="258" t="s">
        <v>21</v>
      </c>
      <c r="W39" s="243" t="str">
        <f>""</f>
        <v/>
      </c>
      <c r="Y39" s="96" t="s">
        <v>214</v>
      </c>
      <c r="Z39" s="85" t="s">
        <v>575</v>
      </c>
      <c r="AA39" s="86" t="s">
        <v>214</v>
      </c>
      <c r="AB39" s="86" t="s">
        <v>214</v>
      </c>
      <c r="AC39" s="86" t="s">
        <v>214</v>
      </c>
      <c r="AD39" s="85" t="s">
        <v>563</v>
      </c>
      <c r="AE39" s="97" t="s">
        <v>576</v>
      </c>
    </row>
    <row r="40" spans="1:31" ht="14.4" x14ac:dyDescent="0.3">
      <c r="A40" s="266" t="s">
        <v>568</v>
      </c>
      <c r="B40" s="243" t="s">
        <v>23</v>
      </c>
      <c r="C40" s="243" t="s">
        <v>579</v>
      </c>
      <c r="D40" s="243" t="s">
        <v>23</v>
      </c>
      <c r="E40" s="243" t="s">
        <v>22</v>
      </c>
      <c r="F40" s="243" t="s">
        <v>542</v>
      </c>
      <c r="G40" s="243" t="s">
        <v>546</v>
      </c>
      <c r="H40" s="243" t="s">
        <v>542</v>
      </c>
      <c r="I40" s="243" t="s">
        <v>21</v>
      </c>
      <c r="J40" s="243" t="s">
        <v>575</v>
      </c>
      <c r="K40" s="243" t="s">
        <v>369</v>
      </c>
      <c r="L40" s="243" t="s">
        <v>576</v>
      </c>
      <c r="M40" s="243" t="s">
        <v>563</v>
      </c>
      <c r="N40" s="243" t="s">
        <v>565</v>
      </c>
      <c r="O40" s="243" t="s">
        <v>562</v>
      </c>
      <c r="P40" s="265" t="s">
        <v>563</v>
      </c>
      <c r="Q40" s="243" t="s">
        <v>579</v>
      </c>
      <c r="R40" s="243" t="s">
        <v>597</v>
      </c>
      <c r="S40" s="243" t="s">
        <v>562</v>
      </c>
      <c r="T40" s="243" t="s">
        <v>581</v>
      </c>
      <c r="U40" s="243" t="s">
        <v>576</v>
      </c>
      <c r="V40" s="243" t="s">
        <v>576</v>
      </c>
      <c r="W40" s="243" t="str">
        <f>""</f>
        <v/>
      </c>
      <c r="Y40" s="96" t="s">
        <v>214</v>
      </c>
      <c r="Z40" s="86" t="s">
        <v>214</v>
      </c>
      <c r="AA40" s="86" t="s">
        <v>214</v>
      </c>
      <c r="AB40" s="86" t="s">
        <v>214</v>
      </c>
      <c r="AC40" s="86" t="s">
        <v>214</v>
      </c>
      <c r="AD40" s="86" t="s">
        <v>214</v>
      </c>
      <c r="AE40" s="100" t="s">
        <v>214</v>
      </c>
    </row>
    <row r="41" spans="1:31" ht="14.4" x14ac:dyDescent="0.3">
      <c r="A41" s="266" t="s">
        <v>554</v>
      </c>
      <c r="B41" s="243" t="s">
        <v>21</v>
      </c>
      <c r="C41" s="243" t="s">
        <v>579</v>
      </c>
      <c r="D41" s="243" t="s">
        <v>581</v>
      </c>
      <c r="E41" s="243" t="s">
        <v>579</v>
      </c>
      <c r="F41" s="243" t="s">
        <v>21</v>
      </c>
      <c r="G41" s="243" t="s">
        <v>21</v>
      </c>
      <c r="H41" s="243" t="s">
        <v>542</v>
      </c>
      <c r="I41" s="243" t="s">
        <v>21</v>
      </c>
      <c r="J41" s="243" t="s">
        <v>576</v>
      </c>
      <c r="K41" s="243" t="s">
        <v>369</v>
      </c>
      <c r="L41" s="243" t="s">
        <v>576</v>
      </c>
      <c r="M41" s="243" t="s">
        <v>21</v>
      </c>
      <c r="N41" s="243" t="s">
        <v>21</v>
      </c>
      <c r="O41" s="243" t="s">
        <v>21</v>
      </c>
      <c r="P41" s="258" t="s">
        <v>576</v>
      </c>
      <c r="Q41" s="243" t="s">
        <v>579</v>
      </c>
      <c r="R41" s="243" t="s">
        <v>597</v>
      </c>
      <c r="S41" s="243" t="s">
        <v>581</v>
      </c>
      <c r="T41" s="243" t="s">
        <v>21</v>
      </c>
      <c r="U41" s="243" t="s">
        <v>21</v>
      </c>
      <c r="V41" s="243" t="s">
        <v>576</v>
      </c>
      <c r="W41" s="243" t="str">
        <f>""</f>
        <v/>
      </c>
      <c r="Y41" s="96" t="s">
        <v>214</v>
      </c>
      <c r="Z41" s="86" t="s">
        <v>214</v>
      </c>
      <c r="AA41" s="86" t="s">
        <v>214</v>
      </c>
      <c r="AB41" s="86" t="s">
        <v>214</v>
      </c>
      <c r="AC41" s="86" t="s">
        <v>214</v>
      </c>
      <c r="AD41" s="85" t="s">
        <v>563</v>
      </c>
      <c r="AE41" s="100" t="s">
        <v>214</v>
      </c>
    </row>
    <row r="42" spans="1:31" s="89" customFormat="1" ht="14.4" x14ac:dyDescent="0.3">
      <c r="A42" s="267" t="s">
        <v>555</v>
      </c>
      <c r="B42" s="260" t="s">
        <v>21</v>
      </c>
      <c r="C42" s="260" t="s">
        <v>579</v>
      </c>
      <c r="D42" s="260" t="s">
        <v>581</v>
      </c>
      <c r="E42" s="260" t="s">
        <v>579</v>
      </c>
      <c r="F42" s="260" t="s">
        <v>21</v>
      </c>
      <c r="G42" s="260" t="s">
        <v>21</v>
      </c>
      <c r="H42" s="260" t="s">
        <v>542</v>
      </c>
      <c r="I42" s="260" t="s">
        <v>21</v>
      </c>
      <c r="J42" s="260" t="s">
        <v>576</v>
      </c>
      <c r="K42" s="260" t="s">
        <v>369</v>
      </c>
      <c r="L42" s="260" t="s">
        <v>576</v>
      </c>
      <c r="M42" s="260" t="s">
        <v>21</v>
      </c>
      <c r="N42" s="260" t="s">
        <v>21</v>
      </c>
      <c r="O42" s="260" t="s">
        <v>21</v>
      </c>
      <c r="P42" s="268" t="s">
        <v>576</v>
      </c>
      <c r="Q42" s="260" t="s">
        <v>579</v>
      </c>
      <c r="R42" s="260" t="s">
        <v>597</v>
      </c>
      <c r="S42" s="260" t="s">
        <v>581</v>
      </c>
      <c r="T42" s="260" t="s">
        <v>21</v>
      </c>
      <c r="U42" s="260" t="s">
        <v>21</v>
      </c>
      <c r="V42" s="260" t="s">
        <v>576</v>
      </c>
      <c r="W42" s="260" t="str">
        <f>""</f>
        <v/>
      </c>
      <c r="Y42" s="96" t="s">
        <v>214</v>
      </c>
      <c r="Z42" s="86" t="s">
        <v>214</v>
      </c>
      <c r="AA42" s="86" t="s">
        <v>214</v>
      </c>
      <c r="AB42" s="86" t="s">
        <v>214</v>
      </c>
      <c r="AC42" s="86" t="s">
        <v>214</v>
      </c>
      <c r="AD42" s="85" t="s">
        <v>563</v>
      </c>
      <c r="AE42" s="100" t="s">
        <v>214</v>
      </c>
    </row>
    <row r="43" spans="1:31" s="88" customFormat="1" ht="14.4" x14ac:dyDescent="0.3">
      <c r="A43" s="255" t="s">
        <v>222</v>
      </c>
      <c r="B43" s="256" t="s">
        <v>544</v>
      </c>
      <c r="C43" s="256" t="s">
        <v>544</v>
      </c>
      <c r="D43" s="256" t="s">
        <v>544</v>
      </c>
      <c r="E43" s="256" t="s">
        <v>544</v>
      </c>
      <c r="F43" s="256" t="s">
        <v>544</v>
      </c>
      <c r="G43" s="256" t="s">
        <v>544</v>
      </c>
      <c r="H43" s="256" t="s">
        <v>544</v>
      </c>
      <c r="I43" s="256" t="s">
        <v>575</v>
      </c>
      <c r="J43" s="256" t="s">
        <v>544</v>
      </c>
      <c r="K43" s="263" t="s">
        <v>369</v>
      </c>
      <c r="L43" s="256" t="s">
        <v>544</v>
      </c>
      <c r="M43" s="256" t="s">
        <v>544</v>
      </c>
      <c r="N43" s="256" t="s">
        <v>544</v>
      </c>
      <c r="O43" s="256" t="s">
        <v>544</v>
      </c>
      <c r="P43" s="256" t="s">
        <v>544</v>
      </c>
      <c r="Q43" s="256" t="s">
        <v>544</v>
      </c>
      <c r="R43" s="256" t="s">
        <v>544</v>
      </c>
      <c r="S43" s="256" t="s">
        <v>544</v>
      </c>
      <c r="T43" s="256" t="s">
        <v>575</v>
      </c>
      <c r="U43" s="256" t="s">
        <v>575</v>
      </c>
      <c r="V43" s="256" t="s">
        <v>575</v>
      </c>
      <c r="W43" s="256" t="str">
        <f>""</f>
        <v/>
      </c>
      <c r="Y43" s="95" t="s">
        <v>214</v>
      </c>
      <c r="Z43" s="90" t="s">
        <v>214</v>
      </c>
      <c r="AA43" s="88" t="s">
        <v>575</v>
      </c>
      <c r="AB43" s="90" t="s">
        <v>214</v>
      </c>
      <c r="AC43" s="90" t="s">
        <v>214</v>
      </c>
      <c r="AD43" s="90" t="s">
        <v>214</v>
      </c>
      <c r="AE43" s="101" t="s">
        <v>214</v>
      </c>
    </row>
    <row r="44" spans="1:31" ht="14.4" x14ac:dyDescent="0.3">
      <c r="A44" s="257" t="s">
        <v>223</v>
      </c>
      <c r="B44" s="243" t="s">
        <v>544</v>
      </c>
      <c r="C44" s="243" t="s">
        <v>544</v>
      </c>
      <c r="D44" s="243" t="s">
        <v>544</v>
      </c>
      <c r="E44" s="243" t="s">
        <v>544</v>
      </c>
      <c r="F44" s="243" t="s">
        <v>544</v>
      </c>
      <c r="G44" s="243" t="s">
        <v>544</v>
      </c>
      <c r="H44" s="243" t="s">
        <v>544</v>
      </c>
      <c r="I44" s="243" t="s">
        <v>575</v>
      </c>
      <c r="J44" s="243" t="s">
        <v>544</v>
      </c>
      <c r="K44" s="258" t="s">
        <v>369</v>
      </c>
      <c r="L44" s="243" t="s">
        <v>544</v>
      </c>
      <c r="M44" s="243" t="s">
        <v>544</v>
      </c>
      <c r="N44" s="243" t="s">
        <v>544</v>
      </c>
      <c r="O44" s="243" t="s">
        <v>544</v>
      </c>
      <c r="P44" s="243" t="s">
        <v>544</v>
      </c>
      <c r="Q44" s="243" t="s">
        <v>544</v>
      </c>
      <c r="R44" s="243" t="s">
        <v>544</v>
      </c>
      <c r="S44" s="243" t="s">
        <v>544</v>
      </c>
      <c r="T44" s="243" t="s">
        <v>575</v>
      </c>
      <c r="U44" s="243" t="s">
        <v>575</v>
      </c>
      <c r="V44" s="243" t="s">
        <v>575</v>
      </c>
      <c r="W44" s="243" t="str">
        <f>""</f>
        <v/>
      </c>
      <c r="Y44" s="96" t="s">
        <v>214</v>
      </c>
      <c r="Z44" s="86" t="s">
        <v>214</v>
      </c>
      <c r="AA44" s="85" t="s">
        <v>575</v>
      </c>
      <c r="AB44" s="86" t="s">
        <v>214</v>
      </c>
      <c r="AC44" s="86" t="s">
        <v>214</v>
      </c>
      <c r="AD44" s="86" t="s">
        <v>214</v>
      </c>
      <c r="AE44" s="100" t="s">
        <v>214</v>
      </c>
    </row>
    <row r="45" spans="1:31" ht="14.4" x14ac:dyDescent="0.3">
      <c r="A45" s="257" t="s">
        <v>464</v>
      </c>
      <c r="B45" s="243" t="s">
        <v>544</v>
      </c>
      <c r="C45" s="243" t="s">
        <v>544</v>
      </c>
      <c r="D45" s="243" t="s">
        <v>544</v>
      </c>
      <c r="E45" s="243" t="s">
        <v>544</v>
      </c>
      <c r="F45" s="243" t="s">
        <v>544</v>
      </c>
      <c r="G45" s="243" t="s">
        <v>544</v>
      </c>
      <c r="H45" s="243" t="s">
        <v>544</v>
      </c>
      <c r="I45" s="243" t="s">
        <v>575</v>
      </c>
      <c r="J45" s="243" t="s">
        <v>544</v>
      </c>
      <c r="K45" s="258" t="s">
        <v>369</v>
      </c>
      <c r="L45" s="243" t="s">
        <v>544</v>
      </c>
      <c r="M45" s="243" t="s">
        <v>544</v>
      </c>
      <c r="N45" s="243" t="s">
        <v>544</v>
      </c>
      <c r="O45" s="243" t="s">
        <v>544</v>
      </c>
      <c r="P45" s="243" t="s">
        <v>544</v>
      </c>
      <c r="Q45" s="243" t="s">
        <v>544</v>
      </c>
      <c r="R45" s="243" t="s">
        <v>544</v>
      </c>
      <c r="S45" s="243" t="s">
        <v>544</v>
      </c>
      <c r="T45" s="243" t="s">
        <v>575</v>
      </c>
      <c r="U45" s="243" t="s">
        <v>575</v>
      </c>
      <c r="V45" s="243" t="s">
        <v>575</v>
      </c>
      <c r="W45" s="243" t="str">
        <f>""</f>
        <v/>
      </c>
      <c r="Y45" s="96" t="s">
        <v>214</v>
      </c>
      <c r="Z45" s="86" t="s">
        <v>214</v>
      </c>
      <c r="AA45" s="85" t="s">
        <v>575</v>
      </c>
      <c r="AB45" s="86" t="s">
        <v>214</v>
      </c>
      <c r="AC45" s="86" t="s">
        <v>214</v>
      </c>
      <c r="AD45" s="86" t="s">
        <v>214</v>
      </c>
      <c r="AE45" s="100" t="s">
        <v>214</v>
      </c>
    </row>
    <row r="46" spans="1:31" ht="14.4" x14ac:dyDescent="0.3">
      <c r="A46" s="257" t="s">
        <v>204</v>
      </c>
      <c r="B46" s="243" t="s">
        <v>544</v>
      </c>
      <c r="C46" s="243" t="s">
        <v>544</v>
      </c>
      <c r="D46" s="243" t="s">
        <v>544</v>
      </c>
      <c r="E46" s="243" t="s">
        <v>544</v>
      </c>
      <c r="F46" s="243" t="s">
        <v>544</v>
      </c>
      <c r="G46" s="243" t="s">
        <v>544</v>
      </c>
      <c r="H46" s="243" t="s">
        <v>544</v>
      </c>
      <c r="I46" s="243" t="s">
        <v>575</v>
      </c>
      <c r="J46" s="243" t="s">
        <v>544</v>
      </c>
      <c r="K46" s="258" t="s">
        <v>369</v>
      </c>
      <c r="L46" s="243" t="s">
        <v>544</v>
      </c>
      <c r="M46" s="243" t="s">
        <v>544</v>
      </c>
      <c r="N46" s="243" t="s">
        <v>544</v>
      </c>
      <c r="O46" s="243" t="s">
        <v>544</v>
      </c>
      <c r="P46" s="243" t="s">
        <v>544</v>
      </c>
      <c r="Q46" s="243" t="s">
        <v>544</v>
      </c>
      <c r="R46" s="243" t="s">
        <v>544</v>
      </c>
      <c r="S46" s="243" t="s">
        <v>544</v>
      </c>
      <c r="T46" s="243" t="s">
        <v>575</v>
      </c>
      <c r="U46" s="243" t="s">
        <v>575</v>
      </c>
      <c r="V46" s="243" t="s">
        <v>575</v>
      </c>
      <c r="W46" s="243" t="str">
        <f>""</f>
        <v/>
      </c>
      <c r="Y46" s="96" t="s">
        <v>214</v>
      </c>
      <c r="Z46" s="86" t="s">
        <v>214</v>
      </c>
      <c r="AA46" s="85" t="s">
        <v>575</v>
      </c>
      <c r="AB46" s="86" t="s">
        <v>214</v>
      </c>
      <c r="AC46" s="86" t="s">
        <v>214</v>
      </c>
      <c r="AD46" s="86" t="s">
        <v>214</v>
      </c>
      <c r="AE46" s="100" t="s">
        <v>214</v>
      </c>
    </row>
    <row r="47" spans="1:31" ht="14.4" x14ac:dyDescent="0.3">
      <c r="A47" s="257" t="s">
        <v>220</v>
      </c>
      <c r="B47" s="243" t="s">
        <v>544</v>
      </c>
      <c r="C47" s="243" t="s">
        <v>544</v>
      </c>
      <c r="D47" s="243" t="s">
        <v>544</v>
      </c>
      <c r="E47" s="243" t="s">
        <v>544</v>
      </c>
      <c r="F47" s="243" t="s">
        <v>544</v>
      </c>
      <c r="G47" s="243" t="s">
        <v>544</v>
      </c>
      <c r="H47" s="243" t="s">
        <v>544</v>
      </c>
      <c r="I47" s="243" t="s">
        <v>575</v>
      </c>
      <c r="J47" s="243" t="s">
        <v>544</v>
      </c>
      <c r="K47" s="258" t="s">
        <v>369</v>
      </c>
      <c r="L47" s="243" t="s">
        <v>544</v>
      </c>
      <c r="M47" s="243" t="s">
        <v>544</v>
      </c>
      <c r="N47" s="243" t="s">
        <v>544</v>
      </c>
      <c r="O47" s="243" t="s">
        <v>544</v>
      </c>
      <c r="P47" s="243" t="s">
        <v>544</v>
      </c>
      <c r="Q47" s="243" t="s">
        <v>544</v>
      </c>
      <c r="R47" s="243" t="s">
        <v>544</v>
      </c>
      <c r="S47" s="243" t="s">
        <v>544</v>
      </c>
      <c r="T47" s="243" t="s">
        <v>575</v>
      </c>
      <c r="U47" s="243" t="s">
        <v>575</v>
      </c>
      <c r="V47" s="243" t="s">
        <v>575</v>
      </c>
      <c r="W47" s="243" t="str">
        <f>""</f>
        <v/>
      </c>
      <c r="Y47" s="96" t="s">
        <v>214</v>
      </c>
      <c r="Z47" s="86" t="s">
        <v>214</v>
      </c>
      <c r="AA47" s="85" t="s">
        <v>575</v>
      </c>
      <c r="AB47" s="86" t="s">
        <v>214</v>
      </c>
      <c r="AC47" s="86" t="s">
        <v>214</v>
      </c>
      <c r="AD47" s="86" t="s">
        <v>214</v>
      </c>
      <c r="AE47" s="100" t="s">
        <v>214</v>
      </c>
    </row>
    <row r="48" spans="1:31" ht="14.4" x14ac:dyDescent="0.3">
      <c r="A48" s="257" t="s">
        <v>203</v>
      </c>
      <c r="B48" s="243" t="s">
        <v>544</v>
      </c>
      <c r="C48" s="243" t="s">
        <v>544</v>
      </c>
      <c r="D48" s="243" t="s">
        <v>544</v>
      </c>
      <c r="E48" s="243" t="s">
        <v>544</v>
      </c>
      <c r="F48" s="243" t="s">
        <v>544</v>
      </c>
      <c r="G48" s="243" t="s">
        <v>544</v>
      </c>
      <c r="H48" s="243" t="s">
        <v>544</v>
      </c>
      <c r="I48" s="243" t="s">
        <v>575</v>
      </c>
      <c r="J48" s="243" t="s">
        <v>544</v>
      </c>
      <c r="K48" s="258" t="s">
        <v>369</v>
      </c>
      <c r="L48" s="243" t="s">
        <v>544</v>
      </c>
      <c r="M48" s="243" t="s">
        <v>544</v>
      </c>
      <c r="N48" s="243" t="s">
        <v>544</v>
      </c>
      <c r="O48" s="243" t="s">
        <v>544</v>
      </c>
      <c r="P48" s="243" t="s">
        <v>544</v>
      </c>
      <c r="Q48" s="243" t="s">
        <v>544</v>
      </c>
      <c r="R48" s="243" t="s">
        <v>544</v>
      </c>
      <c r="S48" s="243" t="s">
        <v>544</v>
      </c>
      <c r="T48" s="243" t="s">
        <v>575</v>
      </c>
      <c r="U48" s="243" t="s">
        <v>575</v>
      </c>
      <c r="V48" s="243" t="s">
        <v>575</v>
      </c>
      <c r="W48" s="243" t="str">
        <f>""</f>
        <v/>
      </c>
      <c r="Y48" s="96" t="s">
        <v>214</v>
      </c>
      <c r="Z48" s="86" t="s">
        <v>214</v>
      </c>
      <c r="AA48" s="85" t="s">
        <v>575</v>
      </c>
      <c r="AB48" s="86" t="s">
        <v>214</v>
      </c>
      <c r="AC48" s="86" t="s">
        <v>214</v>
      </c>
      <c r="AD48" s="86" t="s">
        <v>214</v>
      </c>
      <c r="AE48" s="100" t="s">
        <v>214</v>
      </c>
    </row>
    <row r="49" spans="1:31" ht="14.4" x14ac:dyDescent="0.3">
      <c r="A49" s="257" t="s">
        <v>466</v>
      </c>
      <c r="B49" s="243" t="s">
        <v>544</v>
      </c>
      <c r="C49" s="243" t="s">
        <v>544</v>
      </c>
      <c r="D49" s="243" t="s">
        <v>544</v>
      </c>
      <c r="E49" s="243" t="s">
        <v>544</v>
      </c>
      <c r="F49" s="243" t="s">
        <v>544</v>
      </c>
      <c r="G49" s="243" t="s">
        <v>544</v>
      </c>
      <c r="H49" s="243" t="s">
        <v>544</v>
      </c>
      <c r="I49" s="243" t="s">
        <v>575</v>
      </c>
      <c r="J49" s="243" t="s">
        <v>544</v>
      </c>
      <c r="K49" s="258" t="s">
        <v>369</v>
      </c>
      <c r="L49" s="243" t="s">
        <v>544</v>
      </c>
      <c r="M49" s="243" t="s">
        <v>544</v>
      </c>
      <c r="N49" s="243" t="s">
        <v>544</v>
      </c>
      <c r="O49" s="243" t="s">
        <v>544</v>
      </c>
      <c r="P49" s="243" t="s">
        <v>544</v>
      </c>
      <c r="Q49" s="243" t="s">
        <v>544</v>
      </c>
      <c r="R49" s="243" t="s">
        <v>544</v>
      </c>
      <c r="S49" s="243" t="s">
        <v>544</v>
      </c>
      <c r="T49" s="243" t="s">
        <v>575</v>
      </c>
      <c r="U49" s="243" t="s">
        <v>575</v>
      </c>
      <c r="V49" s="243" t="s">
        <v>575</v>
      </c>
      <c r="W49" s="243" t="str">
        <f>""</f>
        <v/>
      </c>
      <c r="Y49" s="96" t="s">
        <v>214</v>
      </c>
      <c r="Z49" s="86" t="s">
        <v>214</v>
      </c>
      <c r="AA49" s="85" t="s">
        <v>575</v>
      </c>
      <c r="AB49" s="86" t="s">
        <v>214</v>
      </c>
      <c r="AC49" s="86" t="s">
        <v>214</v>
      </c>
      <c r="AD49" s="86" t="s">
        <v>214</v>
      </c>
      <c r="AE49" s="100" t="s">
        <v>214</v>
      </c>
    </row>
    <row r="50" spans="1:31" ht="14.4" x14ac:dyDescent="0.3">
      <c r="A50" s="257" t="s">
        <v>566</v>
      </c>
      <c r="B50" s="243" t="s">
        <v>544</v>
      </c>
      <c r="C50" s="243" t="s">
        <v>544</v>
      </c>
      <c r="D50" s="243" t="s">
        <v>544</v>
      </c>
      <c r="E50" s="243" t="s">
        <v>544</v>
      </c>
      <c r="F50" s="243" t="s">
        <v>544</v>
      </c>
      <c r="G50" s="243" t="s">
        <v>544</v>
      </c>
      <c r="H50" s="243" t="s">
        <v>544</v>
      </c>
      <c r="I50" s="243" t="s">
        <v>575</v>
      </c>
      <c r="J50" s="243" t="s">
        <v>544</v>
      </c>
      <c r="K50" s="258" t="s">
        <v>369</v>
      </c>
      <c r="L50" s="243" t="s">
        <v>544</v>
      </c>
      <c r="M50" s="243" t="s">
        <v>544</v>
      </c>
      <c r="N50" s="243" t="s">
        <v>544</v>
      </c>
      <c r="O50" s="243" t="s">
        <v>544</v>
      </c>
      <c r="P50" s="243" t="s">
        <v>544</v>
      </c>
      <c r="Q50" s="243" t="s">
        <v>544</v>
      </c>
      <c r="R50" s="243" t="s">
        <v>544</v>
      </c>
      <c r="S50" s="243" t="s">
        <v>544</v>
      </c>
      <c r="T50" s="243" t="s">
        <v>575</v>
      </c>
      <c r="U50" s="243" t="s">
        <v>575</v>
      </c>
      <c r="V50" s="243" t="s">
        <v>575</v>
      </c>
      <c r="W50" s="243" t="str">
        <f>""</f>
        <v/>
      </c>
      <c r="Y50" s="96" t="s">
        <v>214</v>
      </c>
      <c r="Z50" s="86" t="s">
        <v>214</v>
      </c>
      <c r="AA50" s="85" t="s">
        <v>575</v>
      </c>
      <c r="AB50" s="86" t="s">
        <v>214</v>
      </c>
      <c r="AC50" s="86" t="s">
        <v>214</v>
      </c>
      <c r="AD50" s="86" t="s">
        <v>214</v>
      </c>
      <c r="AE50" s="100" t="s">
        <v>214</v>
      </c>
    </row>
    <row r="51" spans="1:31" ht="14.4" x14ac:dyDescent="0.3">
      <c r="A51" s="257" t="s">
        <v>202</v>
      </c>
      <c r="B51" s="243" t="s">
        <v>544</v>
      </c>
      <c r="C51" s="243" t="s">
        <v>544</v>
      </c>
      <c r="D51" s="243" t="s">
        <v>544</v>
      </c>
      <c r="E51" s="243" t="s">
        <v>544</v>
      </c>
      <c r="F51" s="243" t="s">
        <v>544</v>
      </c>
      <c r="G51" s="243" t="s">
        <v>544</v>
      </c>
      <c r="H51" s="243" t="s">
        <v>544</v>
      </c>
      <c r="I51" s="243" t="s">
        <v>575</v>
      </c>
      <c r="J51" s="243" t="s">
        <v>544</v>
      </c>
      <c r="K51" s="258" t="s">
        <v>369</v>
      </c>
      <c r="L51" s="243" t="s">
        <v>544</v>
      </c>
      <c r="M51" s="243" t="s">
        <v>544</v>
      </c>
      <c r="N51" s="243" t="s">
        <v>544</v>
      </c>
      <c r="O51" s="243" t="s">
        <v>544</v>
      </c>
      <c r="P51" s="243" t="s">
        <v>544</v>
      </c>
      <c r="Q51" s="243" t="s">
        <v>544</v>
      </c>
      <c r="R51" s="243" t="s">
        <v>544</v>
      </c>
      <c r="S51" s="243" t="s">
        <v>544</v>
      </c>
      <c r="T51" s="243" t="s">
        <v>575</v>
      </c>
      <c r="U51" s="243" t="s">
        <v>575</v>
      </c>
      <c r="V51" s="243" t="s">
        <v>575</v>
      </c>
      <c r="W51" s="243" t="str">
        <f>""</f>
        <v/>
      </c>
      <c r="Y51" s="96" t="s">
        <v>214</v>
      </c>
      <c r="Z51" s="86" t="s">
        <v>214</v>
      </c>
      <c r="AA51" s="85" t="s">
        <v>575</v>
      </c>
      <c r="AB51" s="86" t="s">
        <v>214</v>
      </c>
      <c r="AC51" s="86" t="s">
        <v>214</v>
      </c>
      <c r="AD51" s="86" t="s">
        <v>214</v>
      </c>
      <c r="AE51" s="100" t="s">
        <v>214</v>
      </c>
    </row>
    <row r="52" spans="1:31" ht="14.4" x14ac:dyDescent="0.3">
      <c r="A52" s="257" t="s">
        <v>559</v>
      </c>
      <c r="B52" s="243" t="s">
        <v>564</v>
      </c>
      <c r="C52" s="243" t="s">
        <v>564</v>
      </c>
      <c r="D52" s="243" t="s">
        <v>564</v>
      </c>
      <c r="E52" s="243" t="s">
        <v>564</v>
      </c>
      <c r="F52" s="243" t="s">
        <v>564</v>
      </c>
      <c r="G52" s="243" t="s">
        <v>564</v>
      </c>
      <c r="H52" s="243" t="s">
        <v>564</v>
      </c>
      <c r="I52" s="243" t="s">
        <v>564</v>
      </c>
      <c r="J52" s="243" t="s">
        <v>564</v>
      </c>
      <c r="K52" s="258" t="s">
        <v>369</v>
      </c>
      <c r="L52" s="243" t="s">
        <v>564</v>
      </c>
      <c r="M52" s="243" t="s">
        <v>564</v>
      </c>
      <c r="N52" s="243" t="s">
        <v>564</v>
      </c>
      <c r="O52" s="243" t="s">
        <v>564</v>
      </c>
      <c r="P52" s="243" t="s">
        <v>564</v>
      </c>
      <c r="Q52" s="243" t="s">
        <v>564</v>
      </c>
      <c r="R52" s="243" t="s">
        <v>564</v>
      </c>
      <c r="S52" s="243" t="s">
        <v>564</v>
      </c>
      <c r="T52" s="243" t="s">
        <v>564</v>
      </c>
      <c r="U52" s="243" t="s">
        <v>564</v>
      </c>
      <c r="V52" s="243" t="s">
        <v>564</v>
      </c>
      <c r="W52" s="243" t="str">
        <f>""</f>
        <v/>
      </c>
      <c r="Y52" s="96" t="s">
        <v>214</v>
      </c>
      <c r="Z52" s="86" t="s">
        <v>214</v>
      </c>
      <c r="AA52" s="85" t="s">
        <v>575</v>
      </c>
      <c r="AB52" s="86" t="s">
        <v>214</v>
      </c>
      <c r="AC52" s="86" t="s">
        <v>214</v>
      </c>
      <c r="AD52" s="86" t="s">
        <v>214</v>
      </c>
      <c r="AE52" s="100" t="s">
        <v>214</v>
      </c>
    </row>
    <row r="53" spans="1:31" s="89" customFormat="1" ht="14.4" x14ac:dyDescent="0.3">
      <c r="A53" s="261" t="s">
        <v>556</v>
      </c>
      <c r="B53" s="260" t="s">
        <v>544</v>
      </c>
      <c r="C53" s="260" t="s">
        <v>544</v>
      </c>
      <c r="D53" s="260" t="s">
        <v>544</v>
      </c>
      <c r="E53" s="260" t="s">
        <v>544</v>
      </c>
      <c r="F53" s="260" t="s">
        <v>544</v>
      </c>
      <c r="G53" s="260" t="s">
        <v>544</v>
      </c>
      <c r="H53" s="260" t="s">
        <v>544</v>
      </c>
      <c r="I53" s="260" t="s">
        <v>575</v>
      </c>
      <c r="J53" s="260" t="s">
        <v>544</v>
      </c>
      <c r="K53" s="268" t="s">
        <v>369</v>
      </c>
      <c r="L53" s="260" t="s">
        <v>544</v>
      </c>
      <c r="M53" s="260" t="s">
        <v>544</v>
      </c>
      <c r="N53" s="260" t="s">
        <v>544</v>
      </c>
      <c r="O53" s="260" t="s">
        <v>544</v>
      </c>
      <c r="P53" s="260" t="s">
        <v>544</v>
      </c>
      <c r="Q53" s="260" t="s">
        <v>544</v>
      </c>
      <c r="R53" s="260" t="s">
        <v>544</v>
      </c>
      <c r="S53" s="260" t="s">
        <v>544</v>
      </c>
      <c r="T53" s="260" t="s">
        <v>575</v>
      </c>
      <c r="U53" s="260" t="s">
        <v>575</v>
      </c>
      <c r="V53" s="260" t="s">
        <v>575</v>
      </c>
      <c r="W53" s="260" t="str">
        <f>""</f>
        <v/>
      </c>
      <c r="Y53" s="98" t="s">
        <v>214</v>
      </c>
      <c r="Z53" s="91" t="s">
        <v>214</v>
      </c>
      <c r="AA53" s="89" t="s">
        <v>575</v>
      </c>
      <c r="AB53" s="91" t="s">
        <v>214</v>
      </c>
      <c r="AC53" s="91" t="s">
        <v>214</v>
      </c>
      <c r="AD53" s="91" t="s">
        <v>214</v>
      </c>
      <c r="AE53" s="102" t="s">
        <v>214</v>
      </c>
    </row>
    <row r="54" spans="1:31" s="88" customFormat="1" ht="14.4" x14ac:dyDescent="0.3">
      <c r="A54" s="255" t="s">
        <v>207</v>
      </c>
      <c r="B54" s="256" t="s">
        <v>368</v>
      </c>
      <c r="C54" s="256" t="s">
        <v>368</v>
      </c>
      <c r="D54" s="256" t="s">
        <v>368</v>
      </c>
      <c r="E54" s="256" t="s">
        <v>368</v>
      </c>
      <c r="F54" s="256" t="s">
        <v>368</v>
      </c>
      <c r="G54" s="256" t="s">
        <v>368</v>
      </c>
      <c r="H54" s="256" t="s">
        <v>368</v>
      </c>
      <c r="I54" s="256" t="s">
        <v>576</v>
      </c>
      <c r="J54" s="256" t="s">
        <v>368</v>
      </c>
      <c r="K54" s="263" t="s">
        <v>369</v>
      </c>
      <c r="L54" s="256" t="s">
        <v>368</v>
      </c>
      <c r="M54" s="256" t="s">
        <v>368</v>
      </c>
      <c r="N54" s="256" t="s">
        <v>368</v>
      </c>
      <c r="O54" s="256" t="s">
        <v>368</v>
      </c>
      <c r="P54" s="256" t="s">
        <v>368</v>
      </c>
      <c r="Q54" s="256" t="s">
        <v>368</v>
      </c>
      <c r="R54" s="256" t="s">
        <v>368</v>
      </c>
      <c r="S54" s="256" t="s">
        <v>368</v>
      </c>
      <c r="T54" s="256" t="s">
        <v>576</v>
      </c>
      <c r="U54" s="256" t="s">
        <v>576</v>
      </c>
      <c r="V54" s="256" t="s">
        <v>576</v>
      </c>
      <c r="W54" s="256" t="str">
        <f>""</f>
        <v/>
      </c>
      <c r="Y54" s="96" t="s">
        <v>214</v>
      </c>
      <c r="Z54" s="86" t="s">
        <v>214</v>
      </c>
      <c r="AA54" s="85" t="s">
        <v>576</v>
      </c>
      <c r="AB54" s="86" t="s">
        <v>214</v>
      </c>
      <c r="AC54" s="86" t="s">
        <v>214</v>
      </c>
      <c r="AD54" s="86" t="s">
        <v>214</v>
      </c>
      <c r="AE54" s="100" t="s">
        <v>214</v>
      </c>
    </row>
    <row r="55" spans="1:31" ht="14.4" x14ac:dyDescent="0.3">
      <c r="A55" s="257" t="s">
        <v>297</v>
      </c>
      <c r="B55" s="243" t="s">
        <v>23</v>
      </c>
      <c r="C55" s="243" t="s">
        <v>23</v>
      </c>
      <c r="D55" s="243" t="s">
        <v>23</v>
      </c>
      <c r="E55" s="243" t="s">
        <v>23</v>
      </c>
      <c r="F55" s="243" t="s">
        <v>23</v>
      </c>
      <c r="G55" s="243" t="s">
        <v>23</v>
      </c>
      <c r="H55" s="243" t="s">
        <v>23</v>
      </c>
      <c r="I55" s="243" t="s">
        <v>23</v>
      </c>
      <c r="J55" s="243" t="s">
        <v>23</v>
      </c>
      <c r="K55" s="243" t="s">
        <v>369</v>
      </c>
      <c r="L55" s="243" t="s">
        <v>23</v>
      </c>
      <c r="M55" s="243" t="s">
        <v>23</v>
      </c>
      <c r="N55" s="243" t="s">
        <v>23</v>
      </c>
      <c r="O55" s="243" t="s">
        <v>23</v>
      </c>
      <c r="P55" s="243" t="s">
        <v>23</v>
      </c>
      <c r="Q55" s="243" t="s">
        <v>23</v>
      </c>
      <c r="R55" s="243" t="s">
        <v>23</v>
      </c>
      <c r="S55" s="243" t="s">
        <v>23</v>
      </c>
      <c r="T55" s="243" t="s">
        <v>23</v>
      </c>
      <c r="U55" s="243" t="s">
        <v>23</v>
      </c>
      <c r="V55" s="243" t="s">
        <v>23</v>
      </c>
      <c r="W55" s="243" t="str">
        <f>""</f>
        <v/>
      </c>
      <c r="Y55" s="96" t="s">
        <v>214</v>
      </c>
      <c r="Z55" s="86" t="s">
        <v>214</v>
      </c>
      <c r="AA55" s="86" t="s">
        <v>214</v>
      </c>
      <c r="AB55" s="86" t="s">
        <v>214</v>
      </c>
      <c r="AC55" s="86" t="s">
        <v>214</v>
      </c>
      <c r="AD55" s="86" t="s">
        <v>214</v>
      </c>
      <c r="AE55" s="100" t="s">
        <v>214</v>
      </c>
    </row>
    <row r="56" spans="1:31" ht="14.4" x14ac:dyDescent="0.3">
      <c r="A56" s="257" t="s">
        <v>285</v>
      </c>
      <c r="B56" s="243" t="s">
        <v>285</v>
      </c>
      <c r="C56" s="243" t="s">
        <v>285</v>
      </c>
      <c r="D56" s="243" t="s">
        <v>285</v>
      </c>
      <c r="E56" s="243" t="s">
        <v>285</v>
      </c>
      <c r="F56" s="243" t="s">
        <v>285</v>
      </c>
      <c r="G56" s="243" t="s">
        <v>285</v>
      </c>
      <c r="H56" s="243" t="s">
        <v>285</v>
      </c>
      <c r="I56" s="243" t="s">
        <v>285</v>
      </c>
      <c r="J56" s="243" t="s">
        <v>285</v>
      </c>
      <c r="K56" s="243" t="s">
        <v>369</v>
      </c>
      <c r="L56" s="243" t="s">
        <v>285</v>
      </c>
      <c r="M56" s="243" t="s">
        <v>285</v>
      </c>
      <c r="N56" s="243" t="s">
        <v>285</v>
      </c>
      <c r="O56" s="243" t="s">
        <v>285</v>
      </c>
      <c r="P56" s="243" t="s">
        <v>285</v>
      </c>
      <c r="Q56" s="243" t="s">
        <v>285</v>
      </c>
      <c r="R56" s="243" t="s">
        <v>285</v>
      </c>
      <c r="S56" s="243" t="s">
        <v>285</v>
      </c>
      <c r="T56" s="243" t="s">
        <v>285</v>
      </c>
      <c r="U56" s="243" t="s">
        <v>576</v>
      </c>
      <c r="V56" s="243" t="s">
        <v>285</v>
      </c>
      <c r="W56" s="243" t="str">
        <f>""</f>
        <v/>
      </c>
      <c r="Y56" s="96" t="s">
        <v>214</v>
      </c>
      <c r="Z56" s="86" t="s">
        <v>214</v>
      </c>
      <c r="AA56" s="86" t="s">
        <v>214</v>
      </c>
      <c r="AB56" s="86" t="s">
        <v>214</v>
      </c>
      <c r="AC56" s="86" t="s">
        <v>214</v>
      </c>
      <c r="AD56" s="86" t="s">
        <v>214</v>
      </c>
      <c r="AE56" s="100" t="s">
        <v>214</v>
      </c>
    </row>
    <row r="57" spans="1:31" ht="14.4" x14ac:dyDescent="0.3">
      <c r="A57" s="257" t="s">
        <v>338</v>
      </c>
      <c r="B57" s="243" t="s">
        <v>563</v>
      </c>
      <c r="C57" s="243" t="s">
        <v>563</v>
      </c>
      <c r="D57" s="243" t="s">
        <v>563</v>
      </c>
      <c r="E57" s="243" t="s">
        <v>563</v>
      </c>
      <c r="F57" s="243" t="s">
        <v>563</v>
      </c>
      <c r="G57" s="243" t="s">
        <v>563</v>
      </c>
      <c r="H57" s="243" t="s">
        <v>563</v>
      </c>
      <c r="I57" s="243" t="s">
        <v>563</v>
      </c>
      <c r="J57" s="243" t="s">
        <v>563</v>
      </c>
      <c r="K57" s="243" t="s">
        <v>369</v>
      </c>
      <c r="L57" s="243" t="s">
        <v>563</v>
      </c>
      <c r="M57" s="243" t="s">
        <v>563</v>
      </c>
      <c r="N57" s="243" t="s">
        <v>563</v>
      </c>
      <c r="O57" s="243" t="s">
        <v>563</v>
      </c>
      <c r="P57" s="243" t="s">
        <v>563</v>
      </c>
      <c r="Q57" s="243" t="s">
        <v>563</v>
      </c>
      <c r="R57" s="243" t="s">
        <v>563</v>
      </c>
      <c r="S57" s="243" t="s">
        <v>563</v>
      </c>
      <c r="T57" s="243" t="s">
        <v>563</v>
      </c>
      <c r="U57" s="243" t="s">
        <v>563</v>
      </c>
      <c r="V57" s="243" t="s">
        <v>563</v>
      </c>
      <c r="W57" s="243" t="str">
        <f>""</f>
        <v/>
      </c>
      <c r="Y57" s="96" t="s">
        <v>214</v>
      </c>
      <c r="Z57" s="86" t="s">
        <v>214</v>
      </c>
      <c r="AA57" s="86" t="s">
        <v>214</v>
      </c>
      <c r="AB57" s="86" t="s">
        <v>214</v>
      </c>
      <c r="AC57" s="86" t="s">
        <v>214</v>
      </c>
      <c r="AD57" s="86" t="s">
        <v>214</v>
      </c>
      <c r="AE57" s="100" t="s">
        <v>214</v>
      </c>
    </row>
    <row r="58" spans="1:31" s="89" customFormat="1" ht="15" thickBot="1" x14ac:dyDescent="0.35">
      <c r="A58" s="261" t="s">
        <v>560</v>
      </c>
      <c r="B58" s="260" t="s">
        <v>563</v>
      </c>
      <c r="C58" s="260" t="s">
        <v>563</v>
      </c>
      <c r="D58" s="260" t="s">
        <v>563</v>
      </c>
      <c r="E58" s="260" t="s">
        <v>563</v>
      </c>
      <c r="F58" s="260" t="s">
        <v>563</v>
      </c>
      <c r="G58" s="260" t="s">
        <v>563</v>
      </c>
      <c r="H58" s="260" t="s">
        <v>563</v>
      </c>
      <c r="I58" s="260" t="s">
        <v>563</v>
      </c>
      <c r="J58" s="260" t="s">
        <v>563</v>
      </c>
      <c r="K58" s="260" t="s">
        <v>369</v>
      </c>
      <c r="L58" s="260" t="s">
        <v>563</v>
      </c>
      <c r="M58" s="260" t="s">
        <v>563</v>
      </c>
      <c r="N58" s="260" t="s">
        <v>563</v>
      </c>
      <c r="O58" s="260" t="s">
        <v>563</v>
      </c>
      <c r="P58" s="260" t="s">
        <v>563</v>
      </c>
      <c r="Q58" s="260" t="s">
        <v>563</v>
      </c>
      <c r="R58" s="260" t="s">
        <v>563</v>
      </c>
      <c r="S58" s="260" t="s">
        <v>563</v>
      </c>
      <c r="T58" s="260" t="s">
        <v>563</v>
      </c>
      <c r="U58" s="260" t="s">
        <v>563</v>
      </c>
      <c r="V58" s="260" t="s">
        <v>563</v>
      </c>
      <c r="W58" s="260" t="str">
        <f>""</f>
        <v/>
      </c>
      <c r="Y58" s="99" t="s">
        <v>214</v>
      </c>
      <c r="Z58" s="104" t="s">
        <v>214</v>
      </c>
      <c r="AA58" s="104" t="s">
        <v>214</v>
      </c>
      <c r="AB58" s="104" t="s">
        <v>214</v>
      </c>
      <c r="AC58" s="104" t="s">
        <v>214</v>
      </c>
      <c r="AD58" s="104" t="s">
        <v>214</v>
      </c>
      <c r="AE58" s="103" t="s">
        <v>214</v>
      </c>
    </row>
    <row r="59" spans="1:31" ht="15" thickTop="1" x14ac:dyDescent="0.3">
      <c r="A59" s="269" t="str">
        <f>""</f>
        <v/>
      </c>
      <c r="B59" s="270" t="str">
        <f>""</f>
        <v/>
      </c>
      <c r="C59" s="270" t="str">
        <f>""</f>
        <v/>
      </c>
      <c r="D59" s="270" t="str">
        <f>""</f>
        <v/>
      </c>
      <c r="E59" s="270" t="str">
        <f>""</f>
        <v/>
      </c>
      <c r="F59" s="270" t="str">
        <f>""</f>
        <v/>
      </c>
      <c r="G59" s="270" t="str">
        <f>""</f>
        <v/>
      </c>
      <c r="H59" s="270" t="str">
        <f>""</f>
        <v/>
      </c>
      <c r="I59" s="270" t="str">
        <f>""</f>
        <v/>
      </c>
      <c r="J59" s="270" t="str">
        <f>""</f>
        <v/>
      </c>
      <c r="K59" s="270" t="str">
        <f>""</f>
        <v/>
      </c>
      <c r="L59" s="270" t="str">
        <f>""</f>
        <v/>
      </c>
      <c r="M59" s="270" t="str">
        <f>""</f>
        <v/>
      </c>
      <c r="N59" s="270" t="str">
        <f>""</f>
        <v/>
      </c>
      <c r="O59" s="270" t="str">
        <f>""</f>
        <v/>
      </c>
      <c r="P59" s="270" t="str">
        <f>""</f>
        <v/>
      </c>
      <c r="Q59" s="270" t="str">
        <f>""</f>
        <v/>
      </c>
      <c r="R59" s="270" t="str">
        <f>""</f>
        <v/>
      </c>
      <c r="S59" s="270" t="str">
        <f>""</f>
        <v/>
      </c>
      <c r="T59" s="270" t="str">
        <f>""</f>
        <v/>
      </c>
      <c r="U59" s="270" t="str">
        <f>""</f>
        <v/>
      </c>
      <c r="V59" s="270" t="str">
        <f>""</f>
        <v/>
      </c>
      <c r="W59" s="271" t="str">
        <f>""</f>
        <v/>
      </c>
    </row>
    <row r="60" spans="1:31" s="106" customFormat="1" x14ac:dyDescent="0.3"/>
  </sheetData>
  <conditionalFormatting sqref="B2:W58">
    <cfRule type="uniqueValues" dxfId="56" priority="92"/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5" zoomScaleNormal="85" workbookViewId="0">
      <selection activeCell="F29" sqref="F29"/>
    </sheetView>
  </sheetViews>
  <sheetFormatPr defaultRowHeight="13.8" x14ac:dyDescent="0.3"/>
  <cols>
    <col min="1" max="1" width="36.88671875" style="243" bestFit="1" customWidth="1"/>
    <col min="2" max="2" width="25.21875" style="243" bestFit="1" customWidth="1"/>
    <col min="3" max="3" width="16.6640625" style="243" bestFit="1" customWidth="1"/>
    <col min="4" max="4" width="33.44140625" style="243" bestFit="1" customWidth="1"/>
    <col min="5" max="5" width="17.21875" style="243" bestFit="1" customWidth="1"/>
    <col min="6" max="6" width="25.21875" style="243" bestFit="1" customWidth="1"/>
    <col min="7" max="7" width="2.6640625" style="243" customWidth="1"/>
    <col min="8" max="8" width="20" style="243" bestFit="1" customWidth="1"/>
    <col min="9" max="9" width="7.109375" style="243" bestFit="1" customWidth="1"/>
    <col min="10" max="10" width="23" style="243" bestFit="1" customWidth="1"/>
    <col min="11" max="11" width="7.109375" style="243" bestFit="1" customWidth="1"/>
    <col min="12" max="12" width="25.21875" style="243" bestFit="1" customWidth="1"/>
    <col min="13" max="13" width="7.6640625" style="243" bestFit="1" customWidth="1"/>
    <col min="14" max="14" width="23" style="243" bestFit="1" customWidth="1"/>
    <col min="15" max="15" width="7.6640625" style="243" bestFit="1" customWidth="1"/>
    <col min="16" max="16384" width="8.88671875" style="243"/>
  </cols>
  <sheetData>
    <row r="1" spans="1:15" x14ac:dyDescent="0.3">
      <c r="B1" s="704">
        <v>1</v>
      </c>
      <c r="C1" s="705"/>
      <c r="D1" s="704">
        <v>2</v>
      </c>
      <c r="E1" s="705"/>
      <c r="F1" s="704">
        <v>3</v>
      </c>
      <c r="G1" s="705"/>
      <c r="H1" s="704">
        <v>4</v>
      </c>
      <c r="I1" s="705"/>
      <c r="J1" s="704">
        <v>5</v>
      </c>
      <c r="K1" s="705"/>
      <c r="L1" s="704">
        <v>6</v>
      </c>
      <c r="M1" s="705"/>
      <c r="N1" s="704">
        <v>7</v>
      </c>
      <c r="O1" s="705"/>
    </row>
    <row r="2" spans="1:15" ht="14.4" x14ac:dyDescent="0.3">
      <c r="A2" s="272" t="s">
        <v>22</v>
      </c>
      <c r="B2" s="273" t="s">
        <v>543</v>
      </c>
      <c r="C2" s="274" t="s">
        <v>21</v>
      </c>
      <c r="D2" s="708" t="s">
        <v>214</v>
      </c>
      <c r="E2" s="709"/>
      <c r="F2" s="708" t="s">
        <v>214</v>
      </c>
      <c r="G2" s="709"/>
      <c r="H2" s="708" t="s">
        <v>214</v>
      </c>
      <c r="I2" s="709"/>
      <c r="J2" s="708" t="s">
        <v>214</v>
      </c>
      <c r="K2" s="709"/>
      <c r="L2" s="708" t="s">
        <v>214</v>
      </c>
      <c r="M2" s="709"/>
      <c r="N2" s="708" t="s">
        <v>214</v>
      </c>
      <c r="O2" s="709"/>
    </row>
    <row r="3" spans="1:15" ht="14.4" x14ac:dyDescent="0.3">
      <c r="A3" s="275" t="s">
        <v>545</v>
      </c>
      <c r="B3" s="276" t="s">
        <v>22</v>
      </c>
      <c r="C3" s="277" t="s">
        <v>600</v>
      </c>
      <c r="D3" s="706" t="s">
        <v>214</v>
      </c>
      <c r="E3" s="707"/>
      <c r="F3" s="706" t="s">
        <v>214</v>
      </c>
      <c r="G3" s="707"/>
      <c r="H3" s="706" t="s">
        <v>214</v>
      </c>
      <c r="I3" s="707"/>
      <c r="J3" s="706" t="s">
        <v>214</v>
      </c>
      <c r="K3" s="707"/>
      <c r="L3" s="706" t="s">
        <v>214</v>
      </c>
      <c r="M3" s="707"/>
      <c r="N3" s="706" t="s">
        <v>214</v>
      </c>
      <c r="O3" s="707"/>
    </row>
    <row r="4" spans="1:15" ht="14.4" x14ac:dyDescent="0.3">
      <c r="A4" s="275" t="s">
        <v>546</v>
      </c>
      <c r="B4" s="276" t="s">
        <v>542</v>
      </c>
      <c r="C4" s="277" t="s">
        <v>600</v>
      </c>
      <c r="D4" s="706" t="s">
        <v>214</v>
      </c>
      <c r="E4" s="707"/>
      <c r="F4" s="706" t="s">
        <v>214</v>
      </c>
      <c r="G4" s="707"/>
      <c r="H4" s="706" t="s">
        <v>214</v>
      </c>
      <c r="I4" s="707"/>
      <c r="J4" s="706" t="s">
        <v>214</v>
      </c>
      <c r="K4" s="707"/>
      <c r="L4" s="706" t="s">
        <v>214</v>
      </c>
      <c r="M4" s="707"/>
      <c r="N4" s="706" t="s">
        <v>214</v>
      </c>
      <c r="O4" s="707"/>
    </row>
    <row r="5" spans="1:15" ht="14.4" x14ac:dyDescent="0.3">
      <c r="A5" s="275" t="s">
        <v>563</v>
      </c>
      <c r="B5" s="276" t="s">
        <v>564</v>
      </c>
      <c r="C5" s="277" t="s">
        <v>21</v>
      </c>
      <c r="D5" s="706" t="s">
        <v>214</v>
      </c>
      <c r="E5" s="707"/>
      <c r="F5" s="706" t="s">
        <v>214</v>
      </c>
      <c r="G5" s="707"/>
      <c r="H5" s="706" t="s">
        <v>214</v>
      </c>
      <c r="I5" s="707"/>
      <c r="J5" s="706" t="s">
        <v>214</v>
      </c>
      <c r="K5" s="707"/>
      <c r="L5" s="706" t="s">
        <v>214</v>
      </c>
      <c r="M5" s="707"/>
      <c r="N5" s="706" t="s">
        <v>214</v>
      </c>
      <c r="O5" s="707"/>
    </row>
    <row r="6" spans="1:15" ht="14.4" x14ac:dyDescent="0.3">
      <c r="A6" s="275" t="s">
        <v>562</v>
      </c>
      <c r="B6" s="276" t="s">
        <v>565</v>
      </c>
      <c r="C6" s="277" t="s">
        <v>600</v>
      </c>
      <c r="D6" s="706" t="s">
        <v>214</v>
      </c>
      <c r="E6" s="707"/>
      <c r="F6" s="706" t="s">
        <v>214</v>
      </c>
      <c r="G6" s="707"/>
      <c r="H6" s="706" t="s">
        <v>214</v>
      </c>
      <c r="I6" s="707"/>
      <c r="J6" s="706" t="s">
        <v>214</v>
      </c>
      <c r="K6" s="707"/>
      <c r="L6" s="706" t="s">
        <v>214</v>
      </c>
      <c r="M6" s="707"/>
      <c r="N6" s="706" t="s">
        <v>214</v>
      </c>
      <c r="O6" s="707"/>
    </row>
    <row r="7" spans="1:15" ht="14.4" x14ac:dyDescent="0.3">
      <c r="A7" s="275" t="s">
        <v>579</v>
      </c>
      <c r="B7" s="276" t="s">
        <v>21</v>
      </c>
      <c r="C7" s="277" t="s">
        <v>22</v>
      </c>
      <c r="D7" s="276" t="s">
        <v>22</v>
      </c>
      <c r="E7" s="277" t="s">
        <v>21</v>
      </c>
      <c r="F7" s="276" t="s">
        <v>543</v>
      </c>
      <c r="G7" s="277" t="s">
        <v>21</v>
      </c>
      <c r="H7" s="276" t="s">
        <v>576</v>
      </c>
      <c r="I7" s="277" t="s">
        <v>22</v>
      </c>
      <c r="J7" s="276" t="s">
        <v>575</v>
      </c>
      <c r="K7" s="277" t="s">
        <v>22</v>
      </c>
      <c r="L7" s="706" t="s">
        <v>214</v>
      </c>
      <c r="M7" s="707"/>
      <c r="N7" s="706" t="s">
        <v>214</v>
      </c>
      <c r="O7" s="707"/>
    </row>
    <row r="8" spans="1:15" ht="14.4" x14ac:dyDescent="0.3">
      <c r="A8" s="275" t="s">
        <v>597</v>
      </c>
      <c r="B8" s="276" t="s">
        <v>581</v>
      </c>
      <c r="C8" s="277" t="s">
        <v>22</v>
      </c>
      <c r="D8" s="706" t="s">
        <v>214</v>
      </c>
      <c r="E8" s="707"/>
      <c r="F8" s="706" t="s">
        <v>214</v>
      </c>
      <c r="G8" s="707"/>
      <c r="H8" s="706" t="s">
        <v>214</v>
      </c>
      <c r="I8" s="707"/>
      <c r="J8" s="706" t="s">
        <v>214</v>
      </c>
      <c r="K8" s="707"/>
      <c r="L8" s="706" t="s">
        <v>214</v>
      </c>
      <c r="M8" s="707"/>
      <c r="N8" s="706" t="s">
        <v>214</v>
      </c>
      <c r="O8" s="707"/>
    </row>
    <row r="9" spans="1:15" ht="14.4" x14ac:dyDescent="0.3">
      <c r="A9" s="275" t="s">
        <v>580</v>
      </c>
      <c r="B9" s="276" t="s">
        <v>579</v>
      </c>
      <c r="C9" s="277" t="s">
        <v>600</v>
      </c>
      <c r="D9" s="276" t="s">
        <v>597</v>
      </c>
      <c r="E9" s="277" t="s">
        <v>600</v>
      </c>
      <c r="F9" s="706" t="s">
        <v>214</v>
      </c>
      <c r="G9" s="707"/>
      <c r="H9" s="706" t="s">
        <v>214</v>
      </c>
      <c r="I9" s="707"/>
      <c r="J9" s="706" t="s">
        <v>214</v>
      </c>
      <c r="K9" s="707"/>
      <c r="L9" s="706" t="s">
        <v>214</v>
      </c>
      <c r="M9" s="707"/>
      <c r="N9" s="706" t="s">
        <v>214</v>
      </c>
      <c r="O9" s="707"/>
    </row>
    <row r="10" spans="1:15" ht="14.4" x14ac:dyDescent="0.3">
      <c r="A10" s="275" t="s">
        <v>581</v>
      </c>
      <c r="B10" s="276" t="s">
        <v>545</v>
      </c>
      <c r="C10" s="277" t="s">
        <v>21</v>
      </c>
      <c r="D10" s="276" t="s">
        <v>580</v>
      </c>
      <c r="E10" s="277" t="s">
        <v>21</v>
      </c>
      <c r="F10" s="706" t="s">
        <v>214</v>
      </c>
      <c r="G10" s="707"/>
      <c r="H10" s="706" t="s">
        <v>214</v>
      </c>
      <c r="I10" s="707"/>
      <c r="J10" s="706" t="s">
        <v>214</v>
      </c>
      <c r="K10" s="707"/>
      <c r="L10" s="706" t="s">
        <v>214</v>
      </c>
      <c r="M10" s="707"/>
      <c r="N10" s="706" t="s">
        <v>214</v>
      </c>
      <c r="O10" s="707"/>
    </row>
    <row r="11" spans="1:15" ht="14.4" x14ac:dyDescent="0.3">
      <c r="A11" s="275" t="s">
        <v>576</v>
      </c>
      <c r="B11" s="276" t="s">
        <v>544</v>
      </c>
      <c r="C11" s="277" t="s">
        <v>21</v>
      </c>
      <c r="D11" s="276" t="s">
        <v>368</v>
      </c>
      <c r="E11" s="277" t="s">
        <v>21</v>
      </c>
      <c r="F11" s="276" t="s">
        <v>21</v>
      </c>
      <c r="G11" s="277" t="s">
        <v>368</v>
      </c>
      <c r="H11" s="276" t="s">
        <v>564</v>
      </c>
      <c r="I11" s="277" t="s">
        <v>21</v>
      </c>
      <c r="J11" s="276" t="s">
        <v>575</v>
      </c>
      <c r="K11" s="277" t="s">
        <v>21</v>
      </c>
      <c r="L11" s="276" t="s">
        <v>581</v>
      </c>
      <c r="M11" s="277" t="s">
        <v>368</v>
      </c>
      <c r="N11" s="276" t="s">
        <v>575</v>
      </c>
      <c r="O11" s="277" t="s">
        <v>368</v>
      </c>
    </row>
    <row r="12" spans="1:15" ht="14.4" x14ac:dyDescent="0.3">
      <c r="A12" s="278" t="s">
        <v>575</v>
      </c>
      <c r="B12" s="279" t="s">
        <v>544</v>
      </c>
      <c r="C12" s="280" t="s">
        <v>21</v>
      </c>
      <c r="D12" s="279" t="s">
        <v>21</v>
      </c>
      <c r="E12" s="281" t="s">
        <v>544</v>
      </c>
      <c r="F12" s="279" t="s">
        <v>581</v>
      </c>
      <c r="G12" s="281" t="s">
        <v>544</v>
      </c>
      <c r="H12" s="279" t="s">
        <v>576</v>
      </c>
      <c r="I12" s="281" t="s">
        <v>544</v>
      </c>
      <c r="J12" s="710" t="s">
        <v>214</v>
      </c>
      <c r="K12" s="711"/>
      <c r="L12" s="710" t="s">
        <v>214</v>
      </c>
      <c r="M12" s="711"/>
      <c r="N12" s="710" t="s">
        <v>214</v>
      </c>
      <c r="O12" s="711"/>
    </row>
    <row r="15" spans="1:15" ht="14.4" x14ac:dyDescent="0.3">
      <c r="A15" s="272" t="s">
        <v>23</v>
      </c>
      <c r="B15" s="256"/>
      <c r="C15" s="256"/>
      <c r="D15" s="256" t="str">
        <f>""</f>
        <v/>
      </c>
      <c r="E15" s="282"/>
      <c r="F15" s="283" t="s">
        <v>592</v>
      </c>
      <c r="H15" s="282" t="s">
        <v>367</v>
      </c>
    </row>
    <row r="16" spans="1:15" ht="14.4" x14ac:dyDescent="0.3">
      <c r="A16" s="284" t="s">
        <v>22</v>
      </c>
      <c r="B16" s="243" t="s">
        <v>367</v>
      </c>
      <c r="C16" s="243" t="s">
        <v>297</v>
      </c>
      <c r="D16" s="243" t="str">
        <f>""</f>
        <v/>
      </c>
      <c r="E16" s="285"/>
      <c r="F16" s="123" t="s">
        <v>595</v>
      </c>
      <c r="H16" s="285" t="s">
        <v>297</v>
      </c>
    </row>
    <row r="17" spans="1:8" ht="14.4" x14ac:dyDescent="0.3">
      <c r="A17" s="286" t="s">
        <v>545</v>
      </c>
      <c r="B17" s="243" t="s">
        <v>367</v>
      </c>
      <c r="C17" s="243" t="s">
        <v>297</v>
      </c>
      <c r="D17" s="243" t="s">
        <v>462</v>
      </c>
      <c r="E17" s="285" t="s">
        <v>568</v>
      </c>
      <c r="F17" s="239" t="s">
        <v>593</v>
      </c>
      <c r="H17" s="285" t="s">
        <v>462</v>
      </c>
    </row>
    <row r="18" spans="1:8" ht="14.4" x14ac:dyDescent="0.3">
      <c r="A18" s="286" t="s">
        <v>543</v>
      </c>
      <c r="B18" s="243" t="s">
        <v>367</v>
      </c>
      <c r="C18" s="243" t="s">
        <v>297</v>
      </c>
      <c r="D18" s="243" t="str">
        <f>""</f>
        <v/>
      </c>
      <c r="E18" s="285"/>
      <c r="F18" s="82" t="s">
        <v>590</v>
      </c>
      <c r="H18" s="285" t="s">
        <v>568</v>
      </c>
    </row>
    <row r="19" spans="1:8" ht="14.4" x14ac:dyDescent="0.3">
      <c r="A19" s="286" t="s">
        <v>542</v>
      </c>
      <c r="B19" s="243" t="s">
        <v>367</v>
      </c>
      <c r="C19" s="243" t="s">
        <v>297</v>
      </c>
      <c r="D19" s="243" t="str">
        <f>""</f>
        <v/>
      </c>
      <c r="E19" s="285"/>
      <c r="F19" s="239" t="s">
        <v>591</v>
      </c>
      <c r="H19" s="285" t="s">
        <v>238</v>
      </c>
    </row>
    <row r="20" spans="1:8" ht="14.4" x14ac:dyDescent="0.3">
      <c r="A20" s="286" t="s">
        <v>546</v>
      </c>
      <c r="B20" s="243" t="s">
        <v>367</v>
      </c>
      <c r="C20" s="243" t="s">
        <v>297</v>
      </c>
      <c r="D20" s="243" t="s">
        <v>570</v>
      </c>
      <c r="E20" s="285"/>
      <c r="F20" s="239" t="s">
        <v>591</v>
      </c>
      <c r="H20" s="285" t="s">
        <v>570</v>
      </c>
    </row>
    <row r="21" spans="1:8" ht="14.4" x14ac:dyDescent="0.3">
      <c r="A21" s="286" t="s">
        <v>578</v>
      </c>
      <c r="B21" s="243" t="s">
        <v>367</v>
      </c>
      <c r="C21" s="243" t="s">
        <v>297</v>
      </c>
      <c r="D21" s="243" t="str">
        <f>""</f>
        <v/>
      </c>
      <c r="F21" s="287"/>
      <c r="H21" s="285" t="str">
        <f>""</f>
        <v/>
      </c>
    </row>
    <row r="22" spans="1:8" ht="14.4" x14ac:dyDescent="0.3">
      <c r="A22" s="286" t="s">
        <v>21</v>
      </c>
      <c r="B22" s="243" t="s">
        <v>367</v>
      </c>
      <c r="C22" s="243" t="s">
        <v>297</v>
      </c>
      <c r="D22" s="243" t="s">
        <v>238</v>
      </c>
      <c r="F22" s="288"/>
      <c r="H22" s="281">
        <v>0</v>
      </c>
    </row>
    <row r="23" spans="1:8" ht="14.4" x14ac:dyDescent="0.3">
      <c r="A23" s="286" t="s">
        <v>544</v>
      </c>
      <c r="B23" s="243" t="s">
        <v>367</v>
      </c>
      <c r="C23" s="243" t="s">
        <v>297</v>
      </c>
      <c r="D23" s="243" t="str">
        <f>""</f>
        <v/>
      </c>
      <c r="E23" s="285"/>
    </row>
    <row r="24" spans="1:8" ht="14.4" x14ac:dyDescent="0.3">
      <c r="A24" s="286" t="s">
        <v>369</v>
      </c>
      <c r="B24" s="243" t="s">
        <v>367</v>
      </c>
      <c r="D24" s="243" t="str">
        <f>""</f>
        <v/>
      </c>
      <c r="E24" s="285"/>
    </row>
    <row r="25" spans="1:8" ht="14.4" x14ac:dyDescent="0.3">
      <c r="A25" s="286" t="s">
        <v>368</v>
      </c>
      <c r="B25" s="243" t="s">
        <v>367</v>
      </c>
      <c r="C25" s="243" t="s">
        <v>297</v>
      </c>
      <c r="D25" s="243" t="str">
        <f>""</f>
        <v/>
      </c>
      <c r="E25" s="285"/>
    </row>
    <row r="26" spans="1:8" ht="14.4" x14ac:dyDescent="0.3">
      <c r="A26" s="286" t="s">
        <v>563</v>
      </c>
      <c r="B26" s="243" t="s">
        <v>367</v>
      </c>
      <c r="C26" s="243" t="s">
        <v>297</v>
      </c>
      <c r="D26" s="243" t="str">
        <f>""</f>
        <v/>
      </c>
      <c r="E26" s="285"/>
      <c r="F26" s="289"/>
      <c r="G26" s="289"/>
      <c r="H26" s="289"/>
    </row>
    <row r="27" spans="1:8" ht="14.4" x14ac:dyDescent="0.3">
      <c r="A27" s="286" t="s">
        <v>565</v>
      </c>
      <c r="B27" s="243" t="s">
        <v>367</v>
      </c>
      <c r="C27" s="243" t="s">
        <v>297</v>
      </c>
      <c r="D27" s="243" t="str">
        <f>""</f>
        <v/>
      </c>
      <c r="E27" s="285"/>
    </row>
    <row r="28" spans="1:8" ht="14.4" x14ac:dyDescent="0.3">
      <c r="A28" s="286" t="s">
        <v>562</v>
      </c>
      <c r="B28" s="243" t="s">
        <v>367</v>
      </c>
      <c r="C28" s="243" t="s">
        <v>297</v>
      </c>
      <c r="D28" s="243" t="str">
        <f>""</f>
        <v/>
      </c>
      <c r="E28" s="285"/>
    </row>
    <row r="29" spans="1:8" ht="14.4" x14ac:dyDescent="0.3">
      <c r="A29" s="286" t="s">
        <v>564</v>
      </c>
      <c r="B29" s="243" t="s">
        <v>367</v>
      </c>
      <c r="C29" s="243" t="s">
        <v>297</v>
      </c>
      <c r="D29" s="243" t="str">
        <f>""</f>
        <v/>
      </c>
      <c r="E29" s="285"/>
    </row>
    <row r="30" spans="1:8" ht="14.4" x14ac:dyDescent="0.3">
      <c r="A30" s="286" t="s">
        <v>579</v>
      </c>
      <c r="B30" s="243" t="s">
        <v>367</v>
      </c>
      <c r="C30" s="243" t="s">
        <v>297</v>
      </c>
      <c r="D30" s="243" t="str">
        <f>""</f>
        <v/>
      </c>
      <c r="E30" s="285"/>
    </row>
    <row r="31" spans="1:8" ht="14.4" x14ac:dyDescent="0.3">
      <c r="A31" s="286" t="s">
        <v>597</v>
      </c>
      <c r="B31" s="243" t="s">
        <v>367</v>
      </c>
      <c r="C31" s="243" t="s">
        <v>297</v>
      </c>
      <c r="D31" s="243" t="str">
        <f>""</f>
        <v/>
      </c>
      <c r="E31" s="285"/>
    </row>
    <row r="32" spans="1:8" ht="14.4" x14ac:dyDescent="0.3">
      <c r="A32" s="286" t="s">
        <v>580</v>
      </c>
      <c r="B32" s="243" t="s">
        <v>367</v>
      </c>
      <c r="C32" s="243" t="s">
        <v>297</v>
      </c>
      <c r="D32" s="243" t="str">
        <f>""</f>
        <v/>
      </c>
      <c r="E32" s="285"/>
    </row>
    <row r="33" spans="1:5" ht="14.4" x14ac:dyDescent="0.3">
      <c r="A33" s="286" t="s">
        <v>581</v>
      </c>
      <c r="B33" s="243" t="s">
        <v>367</v>
      </c>
      <c r="C33" s="243" t="s">
        <v>297</v>
      </c>
      <c r="D33" s="243" t="str">
        <f>""</f>
        <v/>
      </c>
      <c r="E33" s="285"/>
    </row>
    <row r="34" spans="1:5" ht="14.4" x14ac:dyDescent="0.3">
      <c r="A34" s="286" t="s">
        <v>576</v>
      </c>
      <c r="B34" s="243" t="s">
        <v>367</v>
      </c>
      <c r="C34" s="243" t="s">
        <v>297</v>
      </c>
      <c r="D34" s="243" t="str">
        <f>""</f>
        <v/>
      </c>
      <c r="E34" s="285"/>
    </row>
    <row r="35" spans="1:5" ht="14.4" x14ac:dyDescent="0.3">
      <c r="A35" s="286" t="s">
        <v>575</v>
      </c>
      <c r="B35" s="243" t="s">
        <v>367</v>
      </c>
      <c r="C35" s="243" t="s">
        <v>297</v>
      </c>
      <c r="D35" s="243" t="str">
        <f>""</f>
        <v/>
      </c>
      <c r="E35" s="285"/>
    </row>
    <row r="36" spans="1:5" x14ac:dyDescent="0.3">
      <c r="A36" s="290" t="str">
        <f>""</f>
        <v/>
      </c>
      <c r="D36" s="243" t="str">
        <f>""</f>
        <v/>
      </c>
      <c r="E36" s="285"/>
    </row>
    <row r="37" spans="1:5" x14ac:dyDescent="0.3">
      <c r="A37" s="291">
        <v>0</v>
      </c>
      <c r="D37" s="243" t="str">
        <f>""</f>
        <v/>
      </c>
      <c r="E37" s="285"/>
    </row>
    <row r="38" spans="1:5" x14ac:dyDescent="0.3">
      <c r="A38" s="292"/>
      <c r="B38" s="260"/>
      <c r="C38" s="260"/>
      <c r="D38" s="260"/>
      <c r="E38" s="281"/>
    </row>
  </sheetData>
  <mergeCells count="58">
    <mergeCell ref="F10:G10"/>
    <mergeCell ref="N12:O12"/>
    <mergeCell ref="L12:M12"/>
    <mergeCell ref="J12:K12"/>
    <mergeCell ref="L2:M2"/>
    <mergeCell ref="N2:O2"/>
    <mergeCell ref="J2:K2"/>
    <mergeCell ref="H2:I2"/>
    <mergeCell ref="F2:G2"/>
    <mergeCell ref="F5:G5"/>
    <mergeCell ref="F6:G6"/>
    <mergeCell ref="F8:G8"/>
    <mergeCell ref="F9:G9"/>
    <mergeCell ref="H10:I10"/>
    <mergeCell ref="J5:K5"/>
    <mergeCell ref="J6:K6"/>
    <mergeCell ref="D8:E8"/>
    <mergeCell ref="D5:E5"/>
    <mergeCell ref="D6:E6"/>
    <mergeCell ref="H8:I8"/>
    <mergeCell ref="H9:I9"/>
    <mergeCell ref="H5:I5"/>
    <mergeCell ref="H6:I6"/>
    <mergeCell ref="J8:K8"/>
    <mergeCell ref="J9:K9"/>
    <mergeCell ref="J10:K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L8:M8"/>
    <mergeCell ref="L9:M9"/>
    <mergeCell ref="L10:M10"/>
    <mergeCell ref="D4:E4"/>
    <mergeCell ref="F4:G4"/>
    <mergeCell ref="H4:I4"/>
    <mergeCell ref="J4:K4"/>
    <mergeCell ref="L4:M4"/>
    <mergeCell ref="N4:O4"/>
    <mergeCell ref="J1:K1"/>
    <mergeCell ref="L1:M1"/>
    <mergeCell ref="N1:O1"/>
    <mergeCell ref="J3:K3"/>
    <mergeCell ref="L3:M3"/>
    <mergeCell ref="N3:O3"/>
    <mergeCell ref="B1:C1"/>
    <mergeCell ref="D1:E1"/>
    <mergeCell ref="F1:G1"/>
    <mergeCell ref="H1:I1"/>
    <mergeCell ref="D3:E3"/>
    <mergeCell ref="F3:G3"/>
    <mergeCell ref="H3:I3"/>
    <mergeCell ref="D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2" customWidth="1"/>
    <col min="16" max="16" width="10" style="45" customWidth="1"/>
    <col min="17" max="17" width="8.88671875" style="44"/>
    <col min="18" max="18" width="8.88671875" style="2" hidden="1" customWidth="1"/>
    <col min="19" max="19" width="8.8867187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4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IF((IF(H2=1,3-L4,IF(H2=2,5-L4,IF(H2=3,7-L4,IF(H2=4,9-L4,IF(H2=5,19-L4,""))))))&gt;-1,(IF(H2=1,3-L4,IF(H2=2,5-L4,IF(H2=3,7-L4,IF(H2=4,9-L4,IF(H2=5,19-L4,"")))))),"!!!")</f>
        <v/>
      </c>
      <c r="M2" s="34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52" t="s">
        <v>196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SUM(O9:O27)</f>
        <v>0</v>
      </c>
      <c r="M4" s="34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92" t="s">
        <v>187</v>
      </c>
      <c r="K7" s="392"/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55" t="s">
        <v>28</v>
      </c>
      <c r="H8" s="2" t="s">
        <v>190</v>
      </c>
      <c r="I8" s="392"/>
      <c r="J8" s="55" t="s">
        <v>28</v>
      </c>
      <c r="K8" s="2" t="s">
        <v>190</v>
      </c>
      <c r="L8" s="392"/>
      <c r="M8" s="392"/>
      <c r="N8" s="391"/>
      <c r="O8" s="391"/>
    </row>
    <row r="9" spans="1:20" x14ac:dyDescent="0.3">
      <c r="A9" s="2">
        <v>1</v>
      </c>
      <c r="B9" s="36"/>
      <c r="C9" s="44" t="s">
        <v>227</v>
      </c>
      <c r="D9" s="2">
        <v>10</v>
      </c>
      <c r="E9" s="2">
        <v>11</v>
      </c>
      <c r="F9" s="56">
        <v>3</v>
      </c>
      <c r="G9" s="56">
        <v>5</v>
      </c>
      <c r="H9" s="2">
        <f>IF((H2&lt;F9),G9+(F9-H2)*2,G9)</f>
        <v>11</v>
      </c>
      <c r="I9" s="2">
        <v>11</v>
      </c>
      <c r="J9" s="2">
        <v>6</v>
      </c>
      <c r="K9" s="2">
        <f>MAX((IF(ROUNDDOWN((D4-4)/2,0)&gt;0,J9-ROUNDDOWN((D4-4)/2,0),J9)),1)</f>
        <v>6</v>
      </c>
      <c r="L9" s="56">
        <v>15</v>
      </c>
      <c r="M9" s="56">
        <v>3</v>
      </c>
      <c r="N9" s="57">
        <f>IF(I9&gt;D4,(D4-I9)*10%,(D4-I9)*5%)</f>
        <v>-1.1000000000000001</v>
      </c>
      <c r="O9" s="58"/>
      <c r="R9" s="5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2">
        <v>2</v>
      </c>
      <c r="B10" s="36"/>
      <c r="C10" s="44" t="s">
        <v>172</v>
      </c>
      <c r="D10" s="2">
        <v>4</v>
      </c>
      <c r="E10" s="2">
        <v>5</v>
      </c>
      <c r="F10" s="56">
        <v>2</v>
      </c>
      <c r="G10" s="56">
        <v>3</v>
      </c>
      <c r="H10" s="2">
        <f>IF((H2&lt;F10),G10+(F10-H2)*2,G10)</f>
        <v>7</v>
      </c>
      <c r="I10" s="2">
        <v>9</v>
      </c>
      <c r="J10" s="2">
        <v>8</v>
      </c>
      <c r="K10" s="2">
        <f>MAX((IF(ROUNDDOWN((D4-4)/2,0)&gt;0,J10-ROUNDDOWN((D4-4)/2,0),J10)),1)</f>
        <v>8</v>
      </c>
      <c r="L10" s="56" t="s">
        <v>194</v>
      </c>
      <c r="M10" s="56">
        <v>3</v>
      </c>
      <c r="N10" s="61">
        <f>IF(I10&gt;D4,IF((100%+(D4-I10)*10%)&lt;10%,10%,100%+(D4-I10)*10%),100%+(D4-I10)*5%)</f>
        <v>9.9999999999999978E-2</v>
      </c>
      <c r="O10" s="58"/>
      <c r="R10" s="62"/>
      <c r="S10" s="54"/>
    </row>
    <row r="11" spans="1:20" x14ac:dyDescent="0.3">
      <c r="A11" s="2">
        <v>3</v>
      </c>
      <c r="B11" s="36"/>
      <c r="C11" s="44" t="s">
        <v>167</v>
      </c>
      <c r="D11" s="2">
        <v>1</v>
      </c>
      <c r="E11" s="2">
        <v>2</v>
      </c>
      <c r="F11" s="56">
        <v>1</v>
      </c>
      <c r="G11" s="56">
        <v>3</v>
      </c>
      <c r="H11" s="2">
        <f>IF((H2&lt;F11),G11+(F11-H2)*2,G11)</f>
        <v>5</v>
      </c>
      <c r="I11" s="2">
        <v>8</v>
      </c>
      <c r="J11" s="2">
        <v>8</v>
      </c>
      <c r="K11" s="2">
        <f>MAX((IF(ROUNDDOWN((D4-4)/2,0)&gt;0,J11-ROUNDDOWN((D4-4)/2,0),J11)),1)</f>
        <v>8</v>
      </c>
      <c r="L11" s="56">
        <v>15</v>
      </c>
      <c r="M11" s="56">
        <v>3</v>
      </c>
      <c r="N11" s="61">
        <f>IF(I11&gt;D4,IF((100%+(D4-I11)*10%)&lt;10%,10%,100%+(D4-I11)*10%),100%+(D4-I11)*5%)</f>
        <v>0.19999999999999996</v>
      </c>
      <c r="O11" s="58"/>
      <c r="R11" s="5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2">
        <v>4</v>
      </c>
      <c r="B12" s="36"/>
      <c r="C12" s="44" t="s">
        <v>168</v>
      </c>
      <c r="D12" s="2">
        <v>1</v>
      </c>
      <c r="E12" s="2">
        <v>3</v>
      </c>
      <c r="F12" s="56">
        <v>1</v>
      </c>
      <c r="G12" s="56">
        <v>6</v>
      </c>
      <c r="H12" s="2">
        <f>IF((H2&lt;F12),G12+(F12-H2)*2,G12)</f>
        <v>8</v>
      </c>
      <c r="I12" s="2">
        <v>8</v>
      </c>
      <c r="J12" s="2">
        <v>1</v>
      </c>
      <c r="K12" s="2">
        <f>MAX((IF(ROUNDDOWN((D4-4)/2,0)&gt;0,J12-ROUNDDOWN((D4-4)/2,0),J12)),1)</f>
        <v>1</v>
      </c>
      <c r="L12" s="56">
        <v>15</v>
      </c>
      <c r="M12" s="56">
        <v>2</v>
      </c>
      <c r="N12" s="61">
        <f>IF(I12&gt;D4,IF((35%+(D4-I12)*10%)&lt;10%,10%,35%+(D4-I12)*10%),35%+(D4-I12)*5%)</f>
        <v>0.1</v>
      </c>
      <c r="O12" s="58"/>
      <c r="R12" s="62"/>
      <c r="S12" s="54"/>
    </row>
    <row r="13" spans="1:20" x14ac:dyDescent="0.3">
      <c r="A13" s="2">
        <v>5</v>
      </c>
      <c r="B13" s="36"/>
      <c r="C13" s="44" t="s">
        <v>179</v>
      </c>
      <c r="D13" s="2">
        <v>18</v>
      </c>
      <c r="E13" s="2">
        <v>18</v>
      </c>
      <c r="F13" s="56">
        <v>5</v>
      </c>
      <c r="G13" s="56">
        <v>9</v>
      </c>
      <c r="H13" s="2">
        <f>IF((H2&lt;F13),G13+(F13-H2)*2,G13)</f>
        <v>19</v>
      </c>
      <c r="I13" s="2">
        <v>13</v>
      </c>
      <c r="J13" s="2">
        <v>16</v>
      </c>
      <c r="K13" s="2">
        <f>MAX((IF(ROUNDDOWN((D4-4)/2,0)&gt;0,J13-ROUNDDOWN((D4-4)/2,0),J13)),1)</f>
        <v>16</v>
      </c>
      <c r="L13" s="56">
        <v>15</v>
      </c>
      <c r="M13" s="56">
        <v>1</v>
      </c>
      <c r="N13" s="61">
        <f>IF(I13&gt;D4,IF((70%+(D4-I13)*10%)&lt;10%,10%,70%+(D4-I13)*10%),70%+(D4-I13)*5%)</f>
        <v>0.1</v>
      </c>
      <c r="O13" s="58"/>
      <c r="R13" s="5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2">
        <v>6</v>
      </c>
      <c r="B14" s="36"/>
      <c r="C14" s="44" t="s">
        <v>171</v>
      </c>
      <c r="D14" s="2">
        <v>4</v>
      </c>
      <c r="E14" s="2">
        <v>4</v>
      </c>
      <c r="F14" s="56">
        <v>1</v>
      </c>
      <c r="G14" s="56">
        <v>3</v>
      </c>
      <c r="H14" s="2">
        <f>IF((H2&lt;F14),G14+(F14-H2)*2,G14)</f>
        <v>5</v>
      </c>
      <c r="I14" s="2">
        <v>8</v>
      </c>
      <c r="J14" s="2">
        <v>7</v>
      </c>
      <c r="K14" s="2">
        <f>MAX((IF(ROUNDDOWN((D4-4)/2,0)&gt;0,J14-ROUNDDOWN((D4-4)/2,0),J14)),1)</f>
        <v>7</v>
      </c>
      <c r="L14" s="56">
        <v>12</v>
      </c>
      <c r="M14" s="56">
        <v>4</v>
      </c>
      <c r="N14" s="61">
        <f>IF(I14&gt;D4,IF((100%+(D4-I14)*10%)&lt;10%,10%,100%+(D4-I14)*10%),100%+(D4-I14)*5%)</f>
        <v>0.19999999999999996</v>
      </c>
      <c r="O14" s="58"/>
      <c r="R14" s="62"/>
      <c r="S14" s="54"/>
    </row>
    <row r="15" spans="1:20" x14ac:dyDescent="0.3">
      <c r="A15" s="2">
        <v>7</v>
      </c>
      <c r="B15" s="36"/>
      <c r="C15" s="44" t="s">
        <v>228</v>
      </c>
      <c r="D15" s="2">
        <v>10</v>
      </c>
      <c r="E15" s="2">
        <v>10</v>
      </c>
      <c r="F15" s="56">
        <v>3</v>
      </c>
      <c r="G15" s="56">
        <v>4</v>
      </c>
      <c r="H15" s="2">
        <f>IF((H2&lt;F15),G15+(F15-H2)*2,G15)</f>
        <v>10</v>
      </c>
      <c r="I15" s="2">
        <v>10</v>
      </c>
      <c r="J15" s="2">
        <v>7</v>
      </c>
      <c r="K15" s="2">
        <f>MAX((IF(ROUNDDOWN((D4-4)/2,0)&gt;0,J15-ROUNDDOWN((D4-4)/2,0),J15)),1)</f>
        <v>7</v>
      </c>
      <c r="L15" s="56">
        <v>15</v>
      </c>
      <c r="M15" s="56" t="s">
        <v>214</v>
      </c>
      <c r="N15" s="57">
        <f>IF(I15&gt;D4,(D4-I15)*10%,(D4-I15)*5%)</f>
        <v>-1</v>
      </c>
      <c r="O15" s="58"/>
      <c r="R15" s="5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2">
        <v>8</v>
      </c>
      <c r="B16" s="36"/>
      <c r="C16" s="44" t="s">
        <v>169</v>
      </c>
      <c r="D16" s="2">
        <v>1</v>
      </c>
      <c r="E16" s="2">
        <v>2</v>
      </c>
      <c r="F16" s="56">
        <v>1</v>
      </c>
      <c r="G16" s="56">
        <v>6</v>
      </c>
      <c r="H16" s="2">
        <f>IF((H2&lt;F16),G16+(F16-H2)*2,G16)</f>
        <v>8</v>
      </c>
      <c r="I16" s="2">
        <v>8</v>
      </c>
      <c r="J16" s="2">
        <v>3</v>
      </c>
      <c r="K16" s="2">
        <f>MAX((IF(ROUNDDOWN((D4-4)/2,0)&gt;0,J16-ROUNDDOWN((D4-4)/2,0),J16)),1)</f>
        <v>3</v>
      </c>
      <c r="L16" s="56">
        <v>15</v>
      </c>
      <c r="M16" s="56">
        <v>3</v>
      </c>
      <c r="N16" s="61">
        <f>IF(I16&gt;D4,IF((35%+(D4-I16)*10%)&lt;10%,10%,35%+(D4-I16)*10%),35%+(D4-I16)*5%)</f>
        <v>0.1</v>
      </c>
      <c r="O16" s="58"/>
      <c r="R16" s="62"/>
      <c r="S16" s="54"/>
    </row>
    <row r="17" spans="1:19" x14ac:dyDescent="0.3">
      <c r="A17" s="2">
        <v>9</v>
      </c>
      <c r="B17" s="36"/>
      <c r="C17" s="44" t="s">
        <v>174</v>
      </c>
      <c r="D17" s="2">
        <v>7</v>
      </c>
      <c r="E17" s="2">
        <v>9</v>
      </c>
      <c r="F17" s="56">
        <v>3</v>
      </c>
      <c r="G17" s="56">
        <v>4</v>
      </c>
      <c r="H17" s="2">
        <f>IF((H2&lt;F17),G17+(F17-H2)*2,G17)</f>
        <v>10</v>
      </c>
      <c r="I17" s="2">
        <v>10</v>
      </c>
      <c r="J17" s="2">
        <v>5</v>
      </c>
      <c r="K17" s="2">
        <f>MAX((IF(ROUNDDOWN((D4-4)/2,0)&gt;0,J17-ROUNDDOWN((D4-4)/2,0),J17)),1)</f>
        <v>5</v>
      </c>
      <c r="L17" s="56">
        <v>5</v>
      </c>
      <c r="M17" s="56">
        <v>3</v>
      </c>
      <c r="N17" s="61">
        <f>IF(I17&gt;D4,IF((100%+(D4-I17)*10%)&lt;10%,10%,100%+(D4-I17)*10%),100%+(D4-I17)*5%)</f>
        <v>0.1</v>
      </c>
      <c r="O17" s="58"/>
      <c r="R17" s="5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2">
        <v>10</v>
      </c>
      <c r="B18" s="36"/>
      <c r="C18" s="44" t="s">
        <v>176</v>
      </c>
      <c r="D18" s="2">
        <v>7</v>
      </c>
      <c r="E18" s="2">
        <v>8</v>
      </c>
      <c r="F18" s="56">
        <v>2</v>
      </c>
      <c r="G18" s="56">
        <v>6</v>
      </c>
      <c r="H18" s="2">
        <f>IF((H2&lt;F18),G18+(F18-H2)*2,G18)</f>
        <v>10</v>
      </c>
      <c r="I18" s="2">
        <v>10</v>
      </c>
      <c r="J18" s="2">
        <v>6</v>
      </c>
      <c r="K18" s="2">
        <f>MAX((IF(ROUNDDOWN((D4-4)/2,0)&gt;0,J18-ROUNDDOWN((D4-4)/2,0),J18)),1)</f>
        <v>6</v>
      </c>
      <c r="L18" s="56" t="s">
        <v>194</v>
      </c>
      <c r="M18" s="56">
        <v>4</v>
      </c>
      <c r="N18" s="61">
        <f>IF(I18&gt;D4,IF((100%+(D4-I18)*10%)&lt;10%,10%,100%+(D4-I18)*10%),100%+(D4-I18)*5%)</f>
        <v>0.1</v>
      </c>
      <c r="O18" s="58"/>
      <c r="R18" s="62"/>
      <c r="S18" s="54"/>
    </row>
    <row r="19" spans="1:19" x14ac:dyDescent="0.3">
      <c r="A19" s="2">
        <v>11</v>
      </c>
      <c r="B19" s="36"/>
      <c r="C19" s="44" t="s">
        <v>215</v>
      </c>
      <c r="D19" s="2">
        <v>10</v>
      </c>
      <c r="E19" s="2">
        <v>12</v>
      </c>
      <c r="F19" s="56">
        <v>3</v>
      </c>
      <c r="G19" s="56">
        <v>6</v>
      </c>
      <c r="H19" s="2">
        <f>IF((H2&lt;F19),G19+(F19-H2)*2,G19)</f>
        <v>12</v>
      </c>
      <c r="I19" s="2">
        <v>11</v>
      </c>
      <c r="J19" s="2">
        <v>5</v>
      </c>
      <c r="K19" s="2">
        <f>MAX((IF(ROUNDDOWN((D4-4)/2,0)&gt;0,J19-ROUNDDOWN((D4-4)/2,0),J19)),1)</f>
        <v>5</v>
      </c>
      <c r="L19" s="56">
        <v>15</v>
      </c>
      <c r="M19" s="56">
        <v>3</v>
      </c>
      <c r="N19" s="61">
        <f>IF(I19&gt;D4,IF((65%+(D4-I19)*10%)&lt;10%,10%,65%+(D4-I19)*10%),65%+(D4-I19)*5%)</f>
        <v>0.1</v>
      </c>
      <c r="O19" s="58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2">
        <v>12</v>
      </c>
      <c r="B20" s="36"/>
      <c r="C20" s="44" t="s">
        <v>175</v>
      </c>
      <c r="D20" s="2">
        <v>7</v>
      </c>
      <c r="E20" s="2">
        <v>7</v>
      </c>
      <c r="F20" s="56">
        <v>2</v>
      </c>
      <c r="G20" s="56">
        <v>8</v>
      </c>
      <c r="H20" s="2">
        <f>IF((H2&lt;F20),G20+(F20-H2)*2,G20)</f>
        <v>12</v>
      </c>
      <c r="I20" s="2">
        <v>9</v>
      </c>
      <c r="J20" s="2">
        <v>10</v>
      </c>
      <c r="K20" s="2">
        <f>MAX((IF(ROUNDDOWN((D4-4)/2,0)&gt;0,J20-ROUNDDOWN((D4-4)/2,0),J20)),1)</f>
        <v>10</v>
      </c>
      <c r="L20" s="56">
        <v>15</v>
      </c>
      <c r="M20" s="56">
        <v>2</v>
      </c>
      <c r="N20" s="61">
        <f>IF(I20&gt;D4,IF((30%+(D4-I20)*10%)&lt;10%,10%,30%+(D4-I20)*10%),30%+(D4-I20)*5%)</f>
        <v>0.1</v>
      </c>
      <c r="O20" s="58"/>
      <c r="R20" s="63"/>
      <c r="S20" s="63"/>
    </row>
    <row r="21" spans="1:19" x14ac:dyDescent="0.3">
      <c r="A21" s="2">
        <v>13</v>
      </c>
      <c r="B21" s="36"/>
      <c r="C21" s="44" t="s">
        <v>216</v>
      </c>
      <c r="D21" s="2">
        <v>16</v>
      </c>
      <c r="E21" s="2">
        <v>16</v>
      </c>
      <c r="F21" s="56">
        <v>4</v>
      </c>
      <c r="G21" s="56">
        <v>8</v>
      </c>
      <c r="H21" s="2">
        <f>IF((H2&lt;F21),G21+(F21-H2)*2,G21)</f>
        <v>16</v>
      </c>
      <c r="I21" s="2">
        <v>12</v>
      </c>
      <c r="J21" s="2">
        <v>6</v>
      </c>
      <c r="K21" s="2">
        <f>MAX((IF(ROUNDDOWN((D4-4)/2,0)&gt;0,J21-ROUNDDOWN((D4-4)/2,0),J21)),1)</f>
        <v>6</v>
      </c>
      <c r="L21" s="56">
        <v>14</v>
      </c>
      <c r="M21" s="56">
        <v>5</v>
      </c>
      <c r="N21" s="61">
        <f>IF(I21&gt;D4,IF((100%+(D4-I21)*10%)&lt;10%,10%,100%+(D4-I21)*10%),100%+(D4-I21)*5%)</f>
        <v>0.1</v>
      </c>
      <c r="O21" s="58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2">
        <v>14</v>
      </c>
      <c r="B22" s="36"/>
      <c r="C22" s="44" t="s">
        <v>217</v>
      </c>
      <c r="D22" s="2">
        <v>13</v>
      </c>
      <c r="E22" s="2">
        <v>13</v>
      </c>
      <c r="F22" s="56">
        <v>4</v>
      </c>
      <c r="G22" s="56">
        <v>6</v>
      </c>
      <c r="H22" s="2">
        <f>IF((H2&lt;F22),G22+(F22-H2)*2,G22)</f>
        <v>14</v>
      </c>
      <c r="I22" s="2">
        <v>11</v>
      </c>
      <c r="J22" s="2">
        <v>7</v>
      </c>
      <c r="K22" s="2">
        <f>MAX((IF(ROUNDDOWN((D4-4)/2,0)&gt;0,J22-ROUNDDOWN((D4-4)/2,0),J22)),1)</f>
        <v>7</v>
      </c>
      <c r="L22" s="56">
        <v>15</v>
      </c>
      <c r="M22" s="56" t="s">
        <v>214</v>
      </c>
      <c r="N22" s="57">
        <f>IF(I22&gt;D4,(D4-I22)*10%,(D4-I22)*5%)</f>
        <v>-1.1000000000000001</v>
      </c>
      <c r="O22" s="58"/>
      <c r="R22" s="63"/>
      <c r="S22" s="63"/>
    </row>
    <row r="23" spans="1:19" x14ac:dyDescent="0.3">
      <c r="A23" s="2">
        <v>15</v>
      </c>
      <c r="B23" s="36"/>
      <c r="C23" s="44" t="s">
        <v>173</v>
      </c>
      <c r="D23" s="2">
        <v>4</v>
      </c>
      <c r="E23" s="2">
        <v>6</v>
      </c>
      <c r="F23" s="56">
        <v>2</v>
      </c>
      <c r="G23" s="56">
        <v>3</v>
      </c>
      <c r="H23" s="2">
        <f>IF((H2&lt;F23),G23+(F23-H2)*2,G23)</f>
        <v>7</v>
      </c>
      <c r="I23" s="2">
        <v>9</v>
      </c>
      <c r="J23" s="2">
        <v>7</v>
      </c>
      <c r="K23" s="2">
        <f>MAX((IF(ROUNDDOWN((D4-4)/2,0)&gt;0,J23-ROUNDDOWN((D4-4)/2,0),J23)),1)</f>
        <v>7</v>
      </c>
      <c r="L23" s="56">
        <v>3</v>
      </c>
      <c r="M23" s="56">
        <v>3</v>
      </c>
      <c r="N23" s="61">
        <f>IF(I23&gt;D4,IF((100%+(D4-I23)*10%)&lt;10%,10%,100%+(D4-I23)*10%),100%+(D4-I23)*5%)</f>
        <v>9.9999999999999978E-2</v>
      </c>
      <c r="O23" s="58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2">
        <v>16</v>
      </c>
      <c r="B24" s="36"/>
      <c r="C24" s="44" t="s">
        <v>180</v>
      </c>
      <c r="D24" s="2">
        <v>18</v>
      </c>
      <c r="E24" s="2">
        <v>19</v>
      </c>
      <c r="F24" s="56">
        <v>5</v>
      </c>
      <c r="G24" s="56">
        <v>9</v>
      </c>
      <c r="H24" s="2">
        <f>IF((H2&lt;F24),G24+(F24-H2)*2,G24)</f>
        <v>19</v>
      </c>
      <c r="I24" s="56">
        <v>13</v>
      </c>
      <c r="J24" s="2">
        <v>16</v>
      </c>
      <c r="K24" s="2">
        <f>MAX((IF(ROUNDDOWN((D4-4)/2,0)&gt;0,J24-ROUNDDOWN((D4-4)/2,0),J24)),1)</f>
        <v>16</v>
      </c>
      <c r="L24" s="56" t="s">
        <v>212</v>
      </c>
      <c r="M24" s="56">
        <v>2</v>
      </c>
      <c r="N24" s="61">
        <f>IF(I24&gt;D4,IF((90%+(D4-I24)*10%)&lt;10%,10%,90%+(D4-I24)*10%),90%+(D4-I24)*5%)</f>
        <v>0.1</v>
      </c>
      <c r="O24" s="58"/>
      <c r="R24" s="63"/>
      <c r="S24" s="63"/>
    </row>
    <row r="25" spans="1:19" x14ac:dyDescent="0.3">
      <c r="A25" s="2">
        <v>17</v>
      </c>
      <c r="B25" s="36"/>
      <c r="C25" s="44" t="s">
        <v>178</v>
      </c>
      <c r="D25" s="2">
        <v>13</v>
      </c>
      <c r="E25" s="2">
        <v>14</v>
      </c>
      <c r="F25" s="56">
        <v>4</v>
      </c>
      <c r="G25" s="56">
        <v>7</v>
      </c>
      <c r="H25" s="2">
        <f>IF((H2&lt;F25),G25+(F25-H2)*2,G25)</f>
        <v>15</v>
      </c>
      <c r="I25" s="2">
        <v>12</v>
      </c>
      <c r="J25" s="2">
        <v>6</v>
      </c>
      <c r="K25" s="2">
        <f>MAX((IF(ROUNDDOWN((D4-4)/2,0)&gt;0,J25-ROUNDDOWN((D4-4)/2,0),J25)),1)</f>
        <v>6</v>
      </c>
      <c r="L25" s="56">
        <v>15</v>
      </c>
      <c r="M25" s="56">
        <v>5</v>
      </c>
      <c r="N25" s="57">
        <f>IF(I25&gt;D4,(D4-I25)*10%,(D4-I25)*5%)</f>
        <v>-1.2000000000000002</v>
      </c>
      <c r="O25" s="58"/>
      <c r="R25" s="49" t="str">
        <f>IF(AND(D25&lt;=D2,H2&gt;0),1,"нельзя")</f>
        <v>нельзя</v>
      </c>
      <c r="S25" s="49" t="str">
        <f>IF(AND(D26&lt;=D2,H2&gt;0),1,"нельзя")</f>
        <v>нельзя</v>
      </c>
    </row>
    <row r="26" spans="1:19" x14ac:dyDescent="0.3">
      <c r="A26" s="2">
        <v>18</v>
      </c>
      <c r="B26" s="36"/>
      <c r="C26" s="44" t="s">
        <v>170</v>
      </c>
      <c r="D26" s="2">
        <v>1</v>
      </c>
      <c r="E26" s="2">
        <v>2</v>
      </c>
      <c r="F26" s="56">
        <v>1</v>
      </c>
      <c r="G26" s="56">
        <v>7</v>
      </c>
      <c r="H26" s="2">
        <f>IF((H2&lt;F26),G26+(F26-H2)*2,G26)</f>
        <v>9</v>
      </c>
      <c r="I26" s="2">
        <v>8</v>
      </c>
      <c r="J26" s="2">
        <v>10</v>
      </c>
      <c r="K26" s="2">
        <f>MAX((IF(ROUNDDOWN((D4-4)/2,0)&gt;0,J26-ROUNDDOWN((D4-4)/2,0),J26)),1)</f>
        <v>10</v>
      </c>
      <c r="L26" s="56">
        <v>15</v>
      </c>
      <c r="M26" s="56" t="s">
        <v>214</v>
      </c>
      <c r="N26" s="57">
        <f>IF(I26&gt;D4,(D4-I26)*10%,(D4-I26)*5%)</f>
        <v>-0.8</v>
      </c>
      <c r="O26" s="58"/>
      <c r="R26" s="63"/>
      <c r="S26" s="63"/>
    </row>
    <row r="27" spans="1:19" x14ac:dyDescent="0.3">
      <c r="A27" s="2">
        <v>19</v>
      </c>
      <c r="B27" s="36"/>
      <c r="C27" s="44" t="s">
        <v>177</v>
      </c>
      <c r="D27" s="2">
        <v>10</v>
      </c>
      <c r="E27" s="2">
        <v>12</v>
      </c>
      <c r="F27" s="56">
        <v>3</v>
      </c>
      <c r="G27" s="56">
        <v>7</v>
      </c>
      <c r="H27" s="2">
        <f>IF((H2&lt;F27),G27+(F27-H2)*2,G27)</f>
        <v>13</v>
      </c>
      <c r="I27" s="2">
        <v>11</v>
      </c>
      <c r="J27" s="2">
        <v>8</v>
      </c>
      <c r="K27" s="2">
        <f>MAX((IF(ROUNDDOWN((D4-4)/2,0)&gt;0,J27-ROUNDDOWN((D4-4)/2,0),J27)),1)</f>
        <v>8</v>
      </c>
      <c r="L27" s="56" t="s">
        <v>288</v>
      </c>
      <c r="M27" s="56" t="s">
        <v>214</v>
      </c>
      <c r="N27" s="57">
        <f>IF(I27&gt;D4,(D4-I27)*10%,(D4-I27)*5%)</f>
        <v>-1.1000000000000001</v>
      </c>
      <c r="O27" s="58"/>
      <c r="R27" s="49" t="str">
        <f>IF(AND(D27&lt;=D2,H2&gt;0),1,"нельзя")</f>
        <v>нельзя</v>
      </c>
    </row>
    <row r="28" spans="1:19" x14ac:dyDescent="0.3">
      <c r="R28" s="63"/>
    </row>
    <row r="29" spans="1:19" x14ac:dyDescent="0.3">
      <c r="R29" s="34"/>
    </row>
  </sheetData>
  <sheetProtection sheet="1" objects="1" scenarios="1"/>
  <mergeCells count="17">
    <mergeCell ref="L7:L8"/>
    <mergeCell ref="O7:O8"/>
    <mergeCell ref="N7:N8"/>
    <mergeCell ref="M7:M8"/>
    <mergeCell ref="J2:K2"/>
    <mergeCell ref="J4:K4"/>
    <mergeCell ref="F2:G2"/>
    <mergeCell ref="G7:H7"/>
    <mergeCell ref="J7:K7"/>
    <mergeCell ref="C7:C8"/>
    <mergeCell ref="A7:A8"/>
    <mergeCell ref="D7:D8"/>
    <mergeCell ref="E7:E8"/>
    <mergeCell ref="F7:F8"/>
    <mergeCell ref="I7:I8"/>
    <mergeCell ref="F4:G4"/>
    <mergeCell ref="B7:B8"/>
  </mergeCells>
  <conditionalFormatting sqref="L2:M2">
    <cfRule type="containsText" dxfId="547" priority="73" operator="containsText" text="!!!">
      <formula>NOT(ISERROR(SEARCH("!!!",L2)))</formula>
    </cfRule>
  </conditionalFormatting>
  <conditionalFormatting sqref="I9:I27">
    <cfRule type="cellIs" dxfId="546" priority="68" operator="greaterThan">
      <formula>$D$4</formula>
    </cfRule>
  </conditionalFormatting>
  <conditionalFormatting sqref="F9:F27">
    <cfRule type="cellIs" dxfId="545" priority="67" operator="greaterThan">
      <formula>$H$2</formula>
    </cfRule>
  </conditionalFormatting>
  <conditionalFormatting sqref="C9">
    <cfRule type="expression" dxfId="544" priority="62">
      <formula>$D$9&gt;$D$2</formula>
    </cfRule>
  </conditionalFormatting>
  <conditionalFormatting sqref="C10">
    <cfRule type="expression" dxfId="543" priority="61">
      <formula>$D$10&gt;$D$2</formula>
    </cfRule>
  </conditionalFormatting>
  <conditionalFormatting sqref="C11">
    <cfRule type="expression" dxfId="542" priority="60">
      <formula>$D$11&gt;$D$2</formula>
    </cfRule>
  </conditionalFormatting>
  <conditionalFormatting sqref="C12">
    <cfRule type="expression" dxfId="541" priority="59">
      <formula>$D$12&gt;$D$2</formula>
    </cfRule>
  </conditionalFormatting>
  <conditionalFormatting sqref="C13">
    <cfRule type="expression" dxfId="540" priority="58">
      <formula>$D$13&gt;$D$2</formula>
    </cfRule>
  </conditionalFormatting>
  <conditionalFormatting sqref="C14">
    <cfRule type="expression" dxfId="539" priority="57">
      <formula>$D$14&gt;$D$2</formula>
    </cfRule>
  </conditionalFormatting>
  <conditionalFormatting sqref="C15">
    <cfRule type="expression" dxfId="538" priority="56">
      <formula>$D$15&gt;$D$2</formula>
    </cfRule>
  </conditionalFormatting>
  <conditionalFormatting sqref="C16">
    <cfRule type="expression" dxfId="537" priority="55">
      <formula>$D$16&gt;$D$2</formula>
    </cfRule>
  </conditionalFormatting>
  <conditionalFormatting sqref="C17">
    <cfRule type="expression" dxfId="536" priority="54">
      <formula>$D$17&gt;$D$2</formula>
    </cfRule>
  </conditionalFormatting>
  <conditionalFormatting sqref="C18">
    <cfRule type="expression" dxfId="535" priority="53">
      <formula>$D$18&gt;$D$2</formula>
    </cfRule>
  </conditionalFormatting>
  <conditionalFormatting sqref="C19">
    <cfRule type="expression" dxfId="534" priority="52">
      <formula>$D$19&gt;$D$2</formula>
    </cfRule>
  </conditionalFormatting>
  <conditionalFormatting sqref="C20">
    <cfRule type="expression" dxfId="533" priority="51">
      <formula>$D$20&gt;$D$2</formula>
    </cfRule>
  </conditionalFormatting>
  <conditionalFormatting sqref="C21">
    <cfRule type="expression" dxfId="532" priority="50">
      <formula>$D$21&gt;$D$2</formula>
    </cfRule>
  </conditionalFormatting>
  <conditionalFormatting sqref="C22">
    <cfRule type="expression" dxfId="531" priority="49">
      <formula>$D$22&gt;$D$2</formula>
    </cfRule>
  </conditionalFormatting>
  <conditionalFormatting sqref="C23">
    <cfRule type="expression" dxfId="530" priority="48">
      <formula>$D$23&gt;$D$2</formula>
    </cfRule>
  </conditionalFormatting>
  <conditionalFormatting sqref="C24">
    <cfRule type="expression" dxfId="529" priority="47">
      <formula>$D$24&gt;$D$2</formula>
    </cfRule>
  </conditionalFormatting>
  <conditionalFormatting sqref="C25">
    <cfRule type="expression" dxfId="528" priority="46">
      <formula>$D$25&gt;$D$2</formula>
    </cfRule>
  </conditionalFormatting>
  <conditionalFormatting sqref="C26">
    <cfRule type="expression" dxfId="527" priority="45">
      <formula>$D$26&gt;$D$2</formula>
    </cfRule>
  </conditionalFormatting>
  <conditionalFormatting sqref="C27">
    <cfRule type="expression" dxfId="526" priority="44">
      <formula>$D$27&gt;$D$2</formula>
    </cfRule>
  </conditionalFormatting>
  <conditionalFormatting sqref="D9:D27">
    <cfRule type="cellIs" dxfId="525" priority="43" operator="greaterThan">
      <formula>$D$2</formula>
    </cfRule>
  </conditionalFormatting>
  <conditionalFormatting sqref="N10:N14 N16:N21 N23:N24">
    <cfRule type="cellIs" dxfId="524" priority="41" operator="lessThan">
      <formula>1</formula>
    </cfRule>
  </conditionalFormatting>
  <conditionalFormatting sqref="H9">
    <cfRule type="cellIs" dxfId="523" priority="40" operator="greaterThan">
      <formula>$G$9</formula>
    </cfRule>
  </conditionalFormatting>
  <conditionalFormatting sqref="H10">
    <cfRule type="cellIs" dxfId="522" priority="39" operator="greaterThan">
      <formula>$G$10</formula>
    </cfRule>
  </conditionalFormatting>
  <conditionalFormatting sqref="H11">
    <cfRule type="cellIs" dxfId="521" priority="38" operator="greaterThan">
      <formula>$G$11</formula>
    </cfRule>
  </conditionalFormatting>
  <conditionalFormatting sqref="H12">
    <cfRule type="cellIs" dxfId="520" priority="37" operator="greaterThan">
      <formula>$G$12</formula>
    </cfRule>
  </conditionalFormatting>
  <conditionalFormatting sqref="H13">
    <cfRule type="cellIs" dxfId="519" priority="36" operator="greaterThan">
      <formula>$G$13</formula>
    </cfRule>
  </conditionalFormatting>
  <conditionalFormatting sqref="H14">
    <cfRule type="cellIs" dxfId="518" priority="35" operator="greaterThan">
      <formula>$G$14</formula>
    </cfRule>
  </conditionalFormatting>
  <conditionalFormatting sqref="H15">
    <cfRule type="cellIs" dxfId="517" priority="34" operator="greaterThan">
      <formula>$G$15</formula>
    </cfRule>
  </conditionalFormatting>
  <conditionalFormatting sqref="H16">
    <cfRule type="cellIs" dxfId="516" priority="33" operator="greaterThan">
      <formula>$G$16</formula>
    </cfRule>
  </conditionalFormatting>
  <conditionalFormatting sqref="H17">
    <cfRule type="cellIs" dxfId="515" priority="32" operator="greaterThan">
      <formula>$G$17</formula>
    </cfRule>
  </conditionalFormatting>
  <conditionalFormatting sqref="H18">
    <cfRule type="cellIs" dxfId="514" priority="31" operator="greaterThan">
      <formula>$G$18</formula>
    </cfRule>
  </conditionalFormatting>
  <conditionalFormatting sqref="H19">
    <cfRule type="cellIs" dxfId="513" priority="30" operator="greaterThan">
      <formula>$G$19</formula>
    </cfRule>
  </conditionalFormatting>
  <conditionalFormatting sqref="H20">
    <cfRule type="cellIs" dxfId="512" priority="29" operator="greaterThan">
      <formula>$G$20</formula>
    </cfRule>
  </conditionalFormatting>
  <conditionalFormatting sqref="H21">
    <cfRule type="cellIs" dxfId="511" priority="28" operator="greaterThan">
      <formula>$G$21</formula>
    </cfRule>
  </conditionalFormatting>
  <conditionalFormatting sqref="H22">
    <cfRule type="cellIs" dxfId="510" priority="27" operator="greaterThan">
      <formula>$G$22</formula>
    </cfRule>
  </conditionalFormatting>
  <conditionalFormatting sqref="H23">
    <cfRule type="cellIs" dxfId="509" priority="26" operator="greaterThan">
      <formula>$G$23</formula>
    </cfRule>
  </conditionalFormatting>
  <conditionalFormatting sqref="H24">
    <cfRule type="cellIs" dxfId="508" priority="25" operator="greaterThan">
      <formula>$G$24</formula>
    </cfRule>
  </conditionalFormatting>
  <conditionalFormatting sqref="H25">
    <cfRule type="cellIs" dxfId="507" priority="24" operator="greaterThan">
      <formula>$G$25</formula>
    </cfRule>
  </conditionalFormatting>
  <conditionalFormatting sqref="H26">
    <cfRule type="cellIs" dxfId="506" priority="23" operator="greaterThan">
      <formula>$G$26</formula>
    </cfRule>
  </conditionalFormatting>
  <conditionalFormatting sqref="H27">
    <cfRule type="cellIs" dxfId="505" priority="22" operator="greaterThan">
      <formula>$G$27</formula>
    </cfRule>
  </conditionalFormatting>
  <conditionalFormatting sqref="O9">
    <cfRule type="expression" dxfId="504" priority="21">
      <formula>$D$9&gt;$D$2</formula>
    </cfRule>
  </conditionalFormatting>
  <conditionalFormatting sqref="O10">
    <cfRule type="expression" dxfId="503" priority="20">
      <formula>$D$10&gt;$D$2</formula>
    </cfRule>
  </conditionalFormatting>
  <conditionalFormatting sqref="O11">
    <cfRule type="expression" dxfId="502" priority="19">
      <formula>$D$11&gt;$D$2</formula>
    </cfRule>
  </conditionalFormatting>
  <conditionalFormatting sqref="O12">
    <cfRule type="expression" dxfId="501" priority="18">
      <formula>$D$12&gt;$D$2</formula>
    </cfRule>
  </conditionalFormatting>
  <conditionalFormatting sqref="O13">
    <cfRule type="expression" dxfId="500" priority="17">
      <formula>$D$13&gt;$D$2</formula>
    </cfRule>
  </conditionalFormatting>
  <conditionalFormatting sqref="O14">
    <cfRule type="expression" dxfId="499" priority="16">
      <formula>$D$14&gt;$D$2</formula>
    </cfRule>
  </conditionalFormatting>
  <conditionalFormatting sqref="O15">
    <cfRule type="expression" dxfId="498" priority="15">
      <formula>$D$15&gt;$D$2</formula>
    </cfRule>
  </conditionalFormatting>
  <conditionalFormatting sqref="O16">
    <cfRule type="expression" dxfId="497" priority="14">
      <formula>$D$16&gt;$D$2</formula>
    </cfRule>
  </conditionalFormatting>
  <conditionalFormatting sqref="O17">
    <cfRule type="expression" dxfId="496" priority="13">
      <formula>$D$17&gt;$D$2</formula>
    </cfRule>
  </conditionalFormatting>
  <conditionalFormatting sqref="O18">
    <cfRule type="expression" dxfId="495" priority="12">
      <formula>$D$18&gt;$D$2</formula>
    </cfRule>
  </conditionalFormatting>
  <conditionalFormatting sqref="O19">
    <cfRule type="expression" dxfId="494" priority="11">
      <formula>$D$19&gt;$D$2</formula>
    </cfRule>
  </conditionalFormatting>
  <conditionalFormatting sqref="O20">
    <cfRule type="expression" dxfId="493" priority="10">
      <formula>$D$20&gt;$D$2</formula>
    </cfRule>
  </conditionalFormatting>
  <conditionalFormatting sqref="O21">
    <cfRule type="expression" dxfId="492" priority="9">
      <formula>$D$21&gt;$D$2</formula>
    </cfRule>
  </conditionalFormatting>
  <conditionalFormatting sqref="O22">
    <cfRule type="expression" dxfId="491" priority="8">
      <formula>$D$22&gt;$D$2</formula>
    </cfRule>
  </conditionalFormatting>
  <conditionalFormatting sqref="O23">
    <cfRule type="expression" dxfId="490" priority="7">
      <formula>$D$23&gt;$D$2</formula>
    </cfRule>
  </conditionalFormatting>
  <conditionalFormatting sqref="O24">
    <cfRule type="expression" dxfId="489" priority="6">
      <formula>$D$24&gt;$D$2</formula>
    </cfRule>
  </conditionalFormatting>
  <conditionalFormatting sqref="O25">
    <cfRule type="expression" dxfId="488" priority="5">
      <formula>$D$25&gt;$D$2</formula>
    </cfRule>
  </conditionalFormatting>
  <conditionalFormatting sqref="O26">
    <cfRule type="expression" dxfId="487" priority="4">
      <formula>$D$26&gt;$D$2</formula>
    </cfRule>
  </conditionalFormatting>
  <conditionalFormatting sqref="O27">
    <cfRule type="expression" dxfId="486" priority="3">
      <formula>$D$27&gt;$D$2</formula>
    </cfRule>
  </conditionalFormatting>
  <conditionalFormatting sqref="O9:O27">
    <cfRule type="expression" dxfId="485" priority="1">
      <formula>$H$2&lt;1</formula>
    </cfRule>
  </conditionalFormatting>
  <dataValidations xWindow="33" yWindow="254" count="39">
    <dataValidation allowBlank="1" showInputMessage="1" showErrorMessage="1" prompt="наложение воздушного щита на себя или союзника_x000a_(невосприимчивость к оглушению)" sqref="C9"/>
    <dataValidation allowBlank="1" showInputMessage="1" showErrorMessage="1" prompt="поглощение половины физического урона" sqref="C10"/>
    <dataValidation allowBlank="1" showInputMessage="1" showErrorMessage="1" prompt="охлаждение цели" sqref="C11"/>
    <dataValidation allowBlank="1" showInputMessage="1" showErrorMessage="1" prompt="электрический разряд, наносящий урон от стихии воздуха; может оглушить" sqref="C12"/>
    <dataValidation allowBlank="1" showInputMessage="1" showErrorMessage="1" prompt="бросок оглушающей молнии, которая разделяется при ударе и наносит урон от стихии воздуха каждой цели" sqref="C13"/>
    <dataValidation allowBlank="1" showInputMessage="1" showErrorMessage="1" prompt="улучшение зрения цели" sqref="C14"/>
    <dataValidation allowBlank="1" showInputMessage="1" showErrorMessage="1" prompt="подъем предмета или персонажа высоко в воздух с последующим безопасным приземлением" sqref="C15"/>
    <dataValidation allowBlank="1" showInputMessage="1" showErrorMessage="1" prompt="магический захват, урон от стихии воздуха; может ослепить" sqref="C16"/>
    <dataValidation allowBlank="1" showInputMessage="1" showErrorMessage="1" prompt="цель становится невосприимчивой к электричеству (оглушению)_x000a_(цель остается уязвимой для стихии воздуха)" sqref="C17"/>
    <dataValidation allowBlank="1" showInputMessage="1" showErrorMessage="1" prompt="дает себе невидимость" sqref="C18"/>
    <dataValidation allowBlank="1" showInputMessage="1" showErrorMessage="1" prompt="электрический разряд, оглушающий цель и наносящий урон от стихии воздуха;_x000a_книги нет в свободной продаже" sqref="C19"/>
    <dataValidation allowBlank="1" showInputMessage="1" showErrorMessage="1" prompt="вы прыгаете от одной цели к другой, оглушая обе и нанося им урон от стихии воздуха" sqref="C20"/>
    <dataValidation allowBlank="1" showInputMessage="1" showErrorMessage="1" prompt="цель становится невидимой" sqref="C21"/>
    <dataValidation allowBlank="1" showInputMessage="1" showErrorMessage="1" prompt="лечит от окаменения" sqref="C22"/>
    <dataValidation allowBlank="1" showInputMessage="1" showErrorMessage="1" prompt="электризация цели, находящейся неподалеку; оглушение" sqref="C23"/>
    <dataValidation allowBlank="1" showInputMessage="1" showErrorMessage="1" prompt="вызов грозы, наносящей урон от стихии воздуха случайно выбранным целям; может оглушить;_x000a_требует 12 интуиции для каста" sqref="C24"/>
    <dataValidation allowBlank="1" showInputMessage="1" showErrorMessage="1" prompt="вызов элементаля воздуха (наносит урон от воздуха; оглушает; навык &quot;быстрый разряд&quot;;  защита от воздуха +200%, земли -50%, колющего урона -25%; после смерти остается наэлектриз. поверхн.)" sqref="C25"/>
    <dataValidation allowBlank="1" showInputMessage="1" showErrorMessage="1" prompt="подъем предмета или персонажа высоко в воздух с последующим бросок на землю, наносит дробящий урон" sqref="C26"/>
    <dataValidation allowBlank="1" showInputMessage="1" showErrorMessage="1" prompt="очистка поверхности поля ото всех эффектов" sqref="C27"/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5">
      <formula1>$R$25:$R$26</formula1>
    </dataValidation>
    <dataValidation type="list" allowBlank="1" showInputMessage="1" showErrorMessage="1" sqref="O26">
      <formula1>$S$25:$S$26</formula1>
    </dataValidation>
    <dataValidation type="list" allowBlank="1" showInputMessage="1" showErrorMessage="1" sqref="O27">
      <formula1>$R$27:$R$28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2" customWidth="1"/>
    <col min="16" max="16" width="10" style="45" customWidth="1"/>
    <col min="17" max="17" width="8.88671875" style="44"/>
    <col min="18" max="18" width="9.109375" style="2" hidden="1" customWidth="1"/>
    <col min="19" max="19" width="8.8867187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4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IF((IF(H2=1,3-L4,IF(H2=2,5-L4,IF(H2=3,7-L4,IF(H2=4,9-L4,IF(H2=5,19-L4,""))))))&gt;-1,(IF(H2=1,3-L4,IF(H2=2,5-L4,IF(H2=3,7-L4,IF(H2=4,9-L4,IF(H2=5,19-L4,"")))))),"!!!")</f>
        <v/>
      </c>
      <c r="M2" s="34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52" t="s">
        <v>196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SUM(O9:O27)</f>
        <v>0</v>
      </c>
      <c r="M4" s="34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92" t="s">
        <v>187</v>
      </c>
      <c r="K7" s="392"/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55" t="s">
        <v>28</v>
      </c>
      <c r="H8" s="2" t="s">
        <v>190</v>
      </c>
      <c r="I8" s="392"/>
      <c r="J8" s="55" t="s">
        <v>28</v>
      </c>
      <c r="K8" s="2" t="s">
        <v>190</v>
      </c>
      <c r="L8" s="392"/>
      <c r="M8" s="392"/>
      <c r="N8" s="391"/>
      <c r="O8" s="391"/>
    </row>
    <row r="9" spans="1:20" x14ac:dyDescent="0.3">
      <c r="A9" s="2">
        <v>1</v>
      </c>
      <c r="B9" s="36"/>
      <c r="C9" s="44" t="s">
        <v>218</v>
      </c>
      <c r="D9" s="56">
        <v>10</v>
      </c>
      <c r="E9" s="56">
        <v>12</v>
      </c>
      <c r="F9" s="56">
        <v>3</v>
      </c>
      <c r="G9" s="56">
        <v>8</v>
      </c>
      <c r="H9" s="56">
        <f>IF((H2&lt;F9),G9+(F9-H2)*2,G9)</f>
        <v>14</v>
      </c>
      <c r="I9" s="56">
        <v>11</v>
      </c>
      <c r="J9" s="56">
        <v>12</v>
      </c>
      <c r="K9" s="56">
        <f>MAX((IF(ROUNDDOWN((D4-4)/2,0)&gt;0,J9-ROUNDDOWN((D4-4)/2,0),J9)),1)</f>
        <v>12</v>
      </c>
      <c r="L9" s="56">
        <v>7</v>
      </c>
      <c r="M9" s="56">
        <v>2</v>
      </c>
      <c r="N9" s="61">
        <f>IF(I9&gt;D4,IF((55%+(D4-I9)*10%)&lt;10%,10%,55%+(D4-I9)*10%),55%+(D4-I9)*5%)</f>
        <v>0.1</v>
      </c>
      <c r="O9" s="58"/>
      <c r="R9" s="5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2">
        <v>2</v>
      </c>
      <c r="B10" s="36"/>
      <c r="C10" s="67" t="s">
        <v>201</v>
      </c>
      <c r="D10" s="56">
        <v>4</v>
      </c>
      <c r="E10" s="56">
        <v>3</v>
      </c>
      <c r="F10" s="56">
        <v>1</v>
      </c>
      <c r="G10" s="56">
        <v>3</v>
      </c>
      <c r="H10" s="56">
        <f>IF((H2&lt;F10),G10+(F10-H2)*2,G10)</f>
        <v>5</v>
      </c>
      <c r="I10" s="56">
        <v>8</v>
      </c>
      <c r="J10" s="56">
        <v>6</v>
      </c>
      <c r="K10" s="56">
        <f>MAX((IF(ROUNDDOWN((D4-4)/2,0)&gt;0,J10-ROUNDDOWN((D4-4)/2,0),J10)),1)</f>
        <v>6</v>
      </c>
      <c r="L10" s="56">
        <v>12</v>
      </c>
      <c r="M10" s="56">
        <v>3</v>
      </c>
      <c r="N10" s="61">
        <f>IF(I10&gt;D4,IF((100%+(D4-I10)*10%)&lt;10%,10%,100%+(D4-I10)*10%),100%+(D4-I10)*5%)</f>
        <v>0.19999999999999996</v>
      </c>
      <c r="O10" s="58"/>
      <c r="R10" s="62"/>
      <c r="S10" s="54"/>
    </row>
    <row r="11" spans="1:20" x14ac:dyDescent="0.3">
      <c r="A11" s="2">
        <v>3</v>
      </c>
      <c r="B11" s="36"/>
      <c r="C11" s="44" t="s">
        <v>219</v>
      </c>
      <c r="D11" s="56">
        <v>13</v>
      </c>
      <c r="E11" s="56">
        <v>13</v>
      </c>
      <c r="F11" s="56">
        <v>4</v>
      </c>
      <c r="G11" s="56">
        <v>7</v>
      </c>
      <c r="H11" s="56">
        <f>IF((H2&lt;F11),G11+(F11-H2)*2,G11)</f>
        <v>15</v>
      </c>
      <c r="I11" s="56">
        <v>11</v>
      </c>
      <c r="J11" s="56">
        <v>8</v>
      </c>
      <c r="K11" s="56">
        <f>MAX((IF(ROUNDDOWN((D4-4)/2,0)&gt;0,J11-ROUNDDOWN((D4-4)/2,0),J11)),1)</f>
        <v>8</v>
      </c>
      <c r="L11" s="56" t="s">
        <v>247</v>
      </c>
      <c r="M11" s="56">
        <v>3</v>
      </c>
      <c r="N11" s="61">
        <f>IF(I11&gt;D4,IF((100%+(D4-I11)*10%)&lt;10%,10%,100%+(D4-I11)*10%),100%+(D4-I11)*5%)</f>
        <v>0.1</v>
      </c>
      <c r="O11" s="58"/>
      <c r="R11" s="5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2">
        <v>4</v>
      </c>
      <c r="B12" s="36"/>
      <c r="C12" s="44" t="s">
        <v>202</v>
      </c>
      <c r="D12" s="56">
        <v>4</v>
      </c>
      <c r="E12" s="56">
        <v>6</v>
      </c>
      <c r="F12" s="56">
        <v>2</v>
      </c>
      <c r="G12" s="56">
        <v>6</v>
      </c>
      <c r="H12" s="56">
        <f>IF((H2&lt;F12),G12+(F12-H2)*2,G12)</f>
        <v>10</v>
      </c>
      <c r="I12" s="56">
        <v>9</v>
      </c>
      <c r="J12" s="56">
        <v>8</v>
      </c>
      <c r="K12" s="56">
        <f>MAX((IF(ROUNDDOWN((D4-4)/2,0)&gt;0,J12-ROUNDDOWN((D4-4)/2,0),J12)),1)</f>
        <v>8</v>
      </c>
      <c r="L12" s="56" t="s">
        <v>211</v>
      </c>
      <c r="M12" s="56">
        <v>2</v>
      </c>
      <c r="N12" s="61">
        <f>IF(I12&gt;D4,IF((80%+(D4-I12)*10%)&lt;10%,10%,80%+(D4-I12)*10%),80%+(D4-I12)*5%)</f>
        <v>0.1</v>
      </c>
      <c r="O12" s="58"/>
      <c r="R12" s="62"/>
      <c r="S12" s="54"/>
    </row>
    <row r="13" spans="1:20" x14ac:dyDescent="0.3">
      <c r="A13" s="2">
        <v>5</v>
      </c>
      <c r="B13" s="36"/>
      <c r="C13" s="44" t="s">
        <v>220</v>
      </c>
      <c r="D13" s="56">
        <v>4</v>
      </c>
      <c r="E13" s="56">
        <v>6</v>
      </c>
      <c r="F13" s="56">
        <v>2</v>
      </c>
      <c r="G13" s="56">
        <v>7</v>
      </c>
      <c r="H13" s="56">
        <f>IF((H2&lt;F13),G13+(F13-H2)*2,G13)</f>
        <v>11</v>
      </c>
      <c r="I13" s="56">
        <v>9</v>
      </c>
      <c r="J13" s="56">
        <v>10</v>
      </c>
      <c r="K13" s="56">
        <f>MAX((IF(ROUNDDOWN((D4-4)/2,0)&gt;0,J13-ROUNDDOWN((D4-4)/2,0),J13)),1)</f>
        <v>10</v>
      </c>
      <c r="L13" s="56" t="s">
        <v>291</v>
      </c>
      <c r="M13" s="56">
        <v>2</v>
      </c>
      <c r="N13" s="70">
        <f>IF(I13&gt;D4,(D4-I13)*10%,(D4-I13)*5%)</f>
        <v>-0.9</v>
      </c>
      <c r="O13" s="58"/>
      <c r="R13" s="5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2">
        <v>6</v>
      </c>
      <c r="B14" s="36"/>
      <c r="C14" s="44" t="s">
        <v>203</v>
      </c>
      <c r="D14" s="56">
        <v>10</v>
      </c>
      <c r="E14" s="56">
        <v>11</v>
      </c>
      <c r="F14" s="56">
        <v>3</v>
      </c>
      <c r="G14" s="56">
        <v>8</v>
      </c>
      <c r="H14" s="56">
        <f>IF((H2&lt;F14),G14+(F14-H2)*2,G14)</f>
        <v>14</v>
      </c>
      <c r="I14" s="56">
        <v>11</v>
      </c>
      <c r="J14" s="56">
        <v>9</v>
      </c>
      <c r="K14" s="56">
        <f>MAX((IF(ROUNDDOWN((D4-4)/2,0)&gt;0,J14-ROUNDDOWN((D4-4)/2,0),J14)),1)</f>
        <v>9</v>
      </c>
      <c r="L14" s="56" t="s">
        <v>213</v>
      </c>
      <c r="M14" s="56">
        <v>3</v>
      </c>
      <c r="N14" s="61">
        <f>IF(I14&gt;D4,IF((30%+(D4-I14)*10%)&lt;10%,10%,30%+(D4-I14)*10%),30%+(D4-I14)*5%)</f>
        <v>0.1</v>
      </c>
      <c r="O14" s="58"/>
      <c r="R14" s="62"/>
      <c r="S14" s="54"/>
    </row>
    <row r="15" spans="1:20" x14ac:dyDescent="0.3">
      <c r="A15" s="2">
        <v>7</v>
      </c>
      <c r="B15" s="36"/>
      <c r="C15" s="44" t="s">
        <v>221</v>
      </c>
      <c r="D15" s="56">
        <v>7</v>
      </c>
      <c r="E15" s="56">
        <v>7</v>
      </c>
      <c r="F15" s="56">
        <v>2</v>
      </c>
      <c r="G15" s="56">
        <v>5</v>
      </c>
      <c r="H15" s="56">
        <f>IF((H2&lt;F15),G15+(F15-H2)*2,G15)</f>
        <v>9</v>
      </c>
      <c r="I15" s="56">
        <v>9</v>
      </c>
      <c r="J15" s="56">
        <v>6</v>
      </c>
      <c r="K15" s="56">
        <f>MAX((IF(ROUNDDOWN((D4-4)/2,0)&gt;0,J15-ROUNDDOWN((D4-4)/2,0),J15)),1)</f>
        <v>6</v>
      </c>
      <c r="L15" s="56">
        <v>15</v>
      </c>
      <c r="M15" s="56">
        <v>3</v>
      </c>
      <c r="N15" s="70">
        <f>IF(I15&gt;D4,(D4-I15)*10%,(D4-I15)*5%)</f>
        <v>-0.9</v>
      </c>
      <c r="O15" s="58"/>
      <c r="R15" s="5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2">
        <v>8</v>
      </c>
      <c r="B16" s="36"/>
      <c r="C16" s="44" t="s">
        <v>204</v>
      </c>
      <c r="D16" s="56">
        <v>18</v>
      </c>
      <c r="E16" s="56">
        <v>19</v>
      </c>
      <c r="F16" s="56">
        <v>5</v>
      </c>
      <c r="G16" s="56">
        <v>9</v>
      </c>
      <c r="H16" s="56">
        <f>IF((H2&lt;F16),G16+(F16-H2)*2,G16)</f>
        <v>19</v>
      </c>
      <c r="I16" s="56">
        <v>13</v>
      </c>
      <c r="J16" s="56">
        <v>16</v>
      </c>
      <c r="K16" s="56">
        <f>MAX((IF(ROUNDDOWN((D4-4)/2,0)&gt;0,J16-ROUNDDOWN((D4-4)/2,0),J16)),1)</f>
        <v>16</v>
      </c>
      <c r="L16" s="56" t="s">
        <v>290</v>
      </c>
      <c r="M16" s="56">
        <v>1</v>
      </c>
      <c r="N16" s="61">
        <f>IF(I16&gt;D4,IF((80%+(D4-I16)*10%)&lt;10%,10%,80%+(D4-I16)*10%),80%+(D4-I16)*5%)</f>
        <v>0.1</v>
      </c>
      <c r="O16" s="58"/>
      <c r="R16" s="62"/>
      <c r="S16" s="54"/>
    </row>
    <row r="17" spans="1:19" x14ac:dyDescent="0.3">
      <c r="A17" s="2">
        <v>9</v>
      </c>
      <c r="B17" s="36"/>
      <c r="C17" s="44" t="s">
        <v>205</v>
      </c>
      <c r="D17" s="56">
        <v>1</v>
      </c>
      <c r="E17" s="56">
        <v>3</v>
      </c>
      <c r="F17" s="56">
        <v>1</v>
      </c>
      <c r="G17" s="56">
        <v>6</v>
      </c>
      <c r="H17" s="56">
        <f>IF((H2&lt;F17),G17+(F17-H2)*2,G17)</f>
        <v>8</v>
      </c>
      <c r="I17" s="56">
        <v>8</v>
      </c>
      <c r="J17" s="56">
        <v>9</v>
      </c>
      <c r="K17" s="56">
        <f>MAX((IF(ROUNDDOWN((D4-4)/2,0)&gt;0,J17-ROUNDDOWN((D4-4)/2,0),J17)),1)</f>
        <v>9</v>
      </c>
      <c r="L17" s="56">
        <v>12</v>
      </c>
      <c r="M17" s="56">
        <v>3</v>
      </c>
      <c r="N17" s="61">
        <f>IF(I17&gt;D4,IF((100%+(D4-I17)*10%)&lt;10%,10%,100%+(D4-I17)*10%),100%+(D4-I17)*5%)</f>
        <v>0.19999999999999996</v>
      </c>
      <c r="O17" s="58"/>
      <c r="R17" s="5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2">
        <v>10</v>
      </c>
      <c r="B18" s="36"/>
      <c r="C18" s="44" t="s">
        <v>206</v>
      </c>
      <c r="D18" s="56">
        <v>4</v>
      </c>
      <c r="E18" s="56">
        <v>5</v>
      </c>
      <c r="F18" s="56">
        <v>2</v>
      </c>
      <c r="G18" s="56">
        <v>4</v>
      </c>
      <c r="H18" s="56">
        <f>IF((H2&lt;F18),G18+(F18-H2)*2,G18)</f>
        <v>8</v>
      </c>
      <c r="I18" s="56">
        <v>9</v>
      </c>
      <c r="J18" s="56">
        <v>5</v>
      </c>
      <c r="K18" s="56">
        <f>MAX((IF(ROUNDDOWN((D4-4)/2,0)&gt;0,J18-ROUNDDOWN((D4-4)/2,0),J18)),1)</f>
        <v>5</v>
      </c>
      <c r="L18" s="56">
        <v>5</v>
      </c>
      <c r="M18" s="56">
        <v>3</v>
      </c>
      <c r="N18" s="61">
        <f>IF(I18&gt;D4,IF((100%+(D4-I18)*10%)&lt;10%,10%,100%+(D4-I18)*10%),100%+(D4-I18)*5%)</f>
        <v>9.9999999999999978E-2</v>
      </c>
      <c r="O18" s="58"/>
      <c r="R18" s="62"/>
      <c r="S18" s="54"/>
    </row>
    <row r="19" spans="1:19" x14ac:dyDescent="0.3">
      <c r="A19" s="2">
        <v>11</v>
      </c>
      <c r="B19" s="36"/>
      <c r="C19" s="44" t="s">
        <v>222</v>
      </c>
      <c r="D19" s="56">
        <v>7</v>
      </c>
      <c r="E19" s="56">
        <v>9</v>
      </c>
      <c r="F19" s="56">
        <v>3</v>
      </c>
      <c r="G19" s="56">
        <v>6</v>
      </c>
      <c r="H19" s="56">
        <f>IF((H2&lt;F19),G19+(F19-H2)*2,G19)</f>
        <v>12</v>
      </c>
      <c r="I19" s="56">
        <v>10</v>
      </c>
      <c r="J19" s="56">
        <v>5</v>
      </c>
      <c r="K19" s="56">
        <f>MAX((IF(ROUNDDOWN((D4-4)/2,0)&gt;0,J19-ROUNDDOWN((D4-4)/2,0),J19)),1)</f>
        <v>5</v>
      </c>
      <c r="L19" s="56">
        <v>15</v>
      </c>
      <c r="M19" s="56">
        <v>3</v>
      </c>
      <c r="N19" s="61">
        <f>IF(I19&gt;D4,IF((70%+(D4-I19)*10%)&lt;10%,10%,70%+(D4-I19)*10%),70%+(D4-I19)*5%)</f>
        <v>0.1</v>
      </c>
      <c r="O19" s="58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2">
        <v>12</v>
      </c>
      <c r="B20" s="36"/>
      <c r="C20" s="44" t="s">
        <v>223</v>
      </c>
      <c r="D20" s="56">
        <v>1</v>
      </c>
      <c r="E20" s="56">
        <v>2</v>
      </c>
      <c r="F20" s="56">
        <v>1</v>
      </c>
      <c r="G20" s="56">
        <v>6</v>
      </c>
      <c r="H20" s="56">
        <f>IF((H2&lt;F20),G20+(F20-H2)*2,G20)</f>
        <v>8</v>
      </c>
      <c r="I20" s="56">
        <v>8</v>
      </c>
      <c r="J20" s="56">
        <v>3</v>
      </c>
      <c r="K20" s="56">
        <f>MAX((IF(ROUNDDOWN((D4-4)/2,0)&gt;0,J20-ROUNDDOWN((D4-4)/2,0),J20)),1)</f>
        <v>3</v>
      </c>
      <c r="L20" s="56">
        <v>15</v>
      </c>
      <c r="M20" s="56">
        <v>2</v>
      </c>
      <c r="N20" s="61">
        <f>IF(I20&gt;D4,IF((40%+(D4-I20)*10%)&lt;10%,10%,40%+(D4-I20)*10%),40%+(D4-I20)*5%)</f>
        <v>0.1</v>
      </c>
      <c r="O20" s="58"/>
      <c r="R20" s="63"/>
      <c r="S20" s="63"/>
    </row>
    <row r="21" spans="1:19" x14ac:dyDescent="0.3">
      <c r="A21" s="2">
        <v>13</v>
      </c>
      <c r="B21" s="36"/>
      <c r="C21" s="44" t="s">
        <v>207</v>
      </c>
      <c r="D21" s="56">
        <v>1</v>
      </c>
      <c r="E21" s="56">
        <v>2</v>
      </c>
      <c r="F21" s="56">
        <v>1</v>
      </c>
      <c r="G21" s="56">
        <v>3</v>
      </c>
      <c r="H21" s="56">
        <f>IF((H2&lt;F21),G21+(F21-H2)*2,G21)</f>
        <v>5</v>
      </c>
      <c r="I21" s="56">
        <v>8</v>
      </c>
      <c r="J21" s="56">
        <v>2</v>
      </c>
      <c r="K21" s="56">
        <f>MAX((IF(ROUNDDOWN((D4-4)/2,0)&gt;0,J21-ROUNDDOWN((D4-4)/2,0),J21)),1)</f>
        <v>2</v>
      </c>
      <c r="L21" s="56" t="s">
        <v>211</v>
      </c>
      <c r="M21" s="56">
        <v>6</v>
      </c>
      <c r="N21" s="70">
        <f>IF(I21&gt;D4,(D4-I21)*10%,(D4-I21)*5%)</f>
        <v>-0.8</v>
      </c>
      <c r="O21" s="58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2">
        <v>14</v>
      </c>
      <c r="B22" s="36"/>
      <c r="C22" s="44" t="s">
        <v>224</v>
      </c>
      <c r="D22" s="56">
        <v>16</v>
      </c>
      <c r="E22" s="56">
        <v>14</v>
      </c>
      <c r="F22" s="56">
        <v>4</v>
      </c>
      <c r="G22" s="56">
        <v>7</v>
      </c>
      <c r="H22" s="56">
        <f>IF((H2&lt;F22),G22+(F22-H2)*2,G22)</f>
        <v>15</v>
      </c>
      <c r="I22" s="56">
        <v>12</v>
      </c>
      <c r="J22" s="56">
        <v>9</v>
      </c>
      <c r="K22" s="56">
        <f>MAX((IF(ROUNDDOWN((D4-4)/2,0)&gt;0,J22-ROUNDDOWN((D4-4)/2,0),J22)),1)</f>
        <v>9</v>
      </c>
      <c r="L22" s="56" t="s">
        <v>292</v>
      </c>
      <c r="M22" s="56">
        <v>2</v>
      </c>
      <c r="N22" s="61">
        <f>IF(I22&gt;D4,IF((100%+(D4-I22)*10%)&lt;10%,10%,100%+(D4-I22)*10%),100%+(D4-I22)*5%)</f>
        <v>0.1</v>
      </c>
      <c r="O22" s="58"/>
      <c r="R22" s="63"/>
      <c r="S22" s="63"/>
    </row>
    <row r="23" spans="1:19" x14ac:dyDescent="0.3">
      <c r="A23" s="2">
        <v>15</v>
      </c>
      <c r="B23" s="36"/>
      <c r="C23" s="44" t="s">
        <v>225</v>
      </c>
      <c r="D23" s="56">
        <v>7</v>
      </c>
      <c r="E23" s="56">
        <v>8</v>
      </c>
      <c r="F23" s="56">
        <v>2</v>
      </c>
      <c r="G23" s="56">
        <v>3</v>
      </c>
      <c r="H23" s="56">
        <f>IF((H2&lt;F23),G23+(F23-H2)*2,G23)</f>
        <v>7</v>
      </c>
      <c r="I23" s="56">
        <v>10</v>
      </c>
      <c r="J23" s="56">
        <v>7</v>
      </c>
      <c r="K23" s="56">
        <f>MAX((IF(ROUNDDOWN((D4-4)/2,0)&gt;0,J23-ROUNDDOWN((D4-4)/2,0),J23)),1)</f>
        <v>7</v>
      </c>
      <c r="L23" s="56">
        <v>3</v>
      </c>
      <c r="M23" s="56">
        <v>3</v>
      </c>
      <c r="N23" s="61">
        <f>IF(I23&gt;D4,IF((100%+(D4-I23)*10%)&lt;10%,10%,100%+(D4-I23)*10%),100%+(D4-I23)*5%)</f>
        <v>0.1</v>
      </c>
      <c r="O23" s="58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2">
        <v>16</v>
      </c>
      <c r="B24" s="36"/>
      <c r="C24" s="44" t="s">
        <v>226</v>
      </c>
      <c r="D24" s="56">
        <v>13</v>
      </c>
      <c r="E24" s="56">
        <v>13</v>
      </c>
      <c r="F24" s="56">
        <v>4</v>
      </c>
      <c r="G24" s="56">
        <v>7</v>
      </c>
      <c r="H24" s="56">
        <f>IF((H2&lt;F24),G24+(F24-H2)*2,G24)</f>
        <v>15</v>
      </c>
      <c r="I24" s="56">
        <v>11</v>
      </c>
      <c r="J24" s="56">
        <v>7</v>
      </c>
      <c r="K24" s="56">
        <f>MAX((IF(ROUNDDOWN((D4-4)/2,0)&gt;0,J24-ROUNDDOWN((D4-4)/2,0),J24)),1)</f>
        <v>7</v>
      </c>
      <c r="L24" s="56">
        <v>15</v>
      </c>
      <c r="M24" s="56">
        <v>5</v>
      </c>
      <c r="N24" s="70">
        <f>IF(I24&gt;D4,(D4-I24)*10%,(D4-I24)*5%)</f>
        <v>-1.1000000000000001</v>
      </c>
      <c r="O24" s="58"/>
      <c r="R24" s="63"/>
      <c r="S24" s="63"/>
    </row>
    <row r="25" spans="1:19" x14ac:dyDescent="0.3">
      <c r="A25" s="2">
        <v>17</v>
      </c>
      <c r="B25" s="36"/>
      <c r="C25" s="44" t="s">
        <v>208</v>
      </c>
      <c r="D25" s="56">
        <v>16</v>
      </c>
      <c r="E25" s="56">
        <v>16</v>
      </c>
      <c r="F25" s="56">
        <v>4</v>
      </c>
      <c r="G25" s="56">
        <v>8</v>
      </c>
      <c r="H25" s="56">
        <f>IF((H2&lt;F25),G25+(F25-H2)*2,G25)</f>
        <v>16</v>
      </c>
      <c r="I25" s="56">
        <v>12</v>
      </c>
      <c r="J25" s="56">
        <v>6</v>
      </c>
      <c r="K25" s="56">
        <f>MAX((IF(ROUNDDOWN((D4-4)/2,0)&gt;0,J25-ROUNDDOWN((D4-4)/2,0),J25)),1)</f>
        <v>6</v>
      </c>
      <c r="L25" s="56">
        <v>15</v>
      </c>
      <c r="M25" s="56">
        <v>5</v>
      </c>
      <c r="N25" s="70">
        <f>IF(I25&gt;D4,(D4-I25)*10%,(D4-I25)*5%)</f>
        <v>-1.2000000000000002</v>
      </c>
      <c r="O25" s="58"/>
      <c r="R25" s="49" t="str">
        <f>IF(AND(D25&lt;=D2,H2&gt;0),1,"нельзя")</f>
        <v>нельзя</v>
      </c>
      <c r="S25" s="49" t="str">
        <f>IF(AND(D26&lt;=D2,H2&gt;0),1,"нельзя")</f>
        <v>нельзя</v>
      </c>
    </row>
    <row r="26" spans="1:19" x14ac:dyDescent="0.3">
      <c r="A26" s="2">
        <v>18</v>
      </c>
      <c r="B26" s="36"/>
      <c r="C26" s="44" t="s">
        <v>209</v>
      </c>
      <c r="D26" s="56">
        <v>1</v>
      </c>
      <c r="E26" s="56">
        <v>2</v>
      </c>
      <c r="F26" s="56">
        <v>1</v>
      </c>
      <c r="G26" s="56">
        <v>6</v>
      </c>
      <c r="H26" s="56">
        <f>IF((H2&lt;F26),G26+(F26-H2)*2,G26)</f>
        <v>8</v>
      </c>
      <c r="I26" s="56">
        <v>8</v>
      </c>
      <c r="J26" s="56">
        <v>6</v>
      </c>
      <c r="K26" s="56">
        <f>MAX((IF(ROUNDDOWN((D4-4)/2,0)&gt;0,J26-ROUNDDOWN((D4-4)/2,0),J26)),1)</f>
        <v>6</v>
      </c>
      <c r="L26" s="56">
        <v>10</v>
      </c>
      <c r="M26" s="56">
        <v>5</v>
      </c>
      <c r="N26" s="70">
        <f>IF(I26&gt;D4,(D4-I26)*10%,(D4-I26)*5%)</f>
        <v>-0.8</v>
      </c>
      <c r="O26" s="58"/>
      <c r="R26" s="63"/>
      <c r="S26" s="63"/>
    </row>
    <row r="27" spans="1:19" x14ac:dyDescent="0.3">
      <c r="A27" s="2">
        <v>19</v>
      </c>
      <c r="B27" s="36"/>
      <c r="C27" s="44" t="s">
        <v>210</v>
      </c>
      <c r="D27" s="56">
        <v>10</v>
      </c>
      <c r="E27" s="56">
        <v>10</v>
      </c>
      <c r="F27" s="56">
        <v>3</v>
      </c>
      <c r="G27" s="56">
        <v>7</v>
      </c>
      <c r="H27" s="56">
        <f>IF((H2&lt;F27),G27+(F27-H2)*2,G27)</f>
        <v>13</v>
      </c>
      <c r="I27" s="56">
        <v>10</v>
      </c>
      <c r="J27" s="56">
        <v>7</v>
      </c>
      <c r="K27" s="56">
        <f>MAX((IF(ROUNDDOWN((D4-4)/2,0)&gt;0,J27-ROUNDDOWN((D4-4)/2,0),J27)),1)</f>
        <v>7</v>
      </c>
      <c r="L27" s="56">
        <v>5</v>
      </c>
      <c r="M27" s="56">
        <v>4</v>
      </c>
      <c r="N27" s="70">
        <f>IF(I27&gt;D4,(D4-I27)*10%,(D4-I27)*5%)</f>
        <v>-1</v>
      </c>
      <c r="O27" s="58"/>
      <c r="R27" s="49" t="str">
        <f>IF(AND(D27&lt;=D2,H2&gt;0),1,"нельзя")</f>
        <v>нельзя</v>
      </c>
    </row>
    <row r="28" spans="1:19" x14ac:dyDescent="0.3">
      <c r="R28" s="63"/>
    </row>
    <row r="29" spans="1:19" x14ac:dyDescent="0.3">
      <c r="R29" s="34"/>
    </row>
  </sheetData>
  <sheetProtection sheet="1" objects="1" scenarios="1"/>
  <mergeCells count="17">
    <mergeCell ref="O7:O8"/>
    <mergeCell ref="G7:H7"/>
    <mergeCell ref="I7:I8"/>
    <mergeCell ref="J7:K7"/>
    <mergeCell ref="L7:L8"/>
    <mergeCell ref="M7:M8"/>
    <mergeCell ref="N7:N8"/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</mergeCells>
  <conditionalFormatting sqref="L2:M2">
    <cfRule type="containsText" dxfId="484" priority="65" operator="containsText" text="!!!">
      <formula>NOT(ISERROR(SEARCH("!!!",L2)))</formula>
    </cfRule>
  </conditionalFormatting>
  <conditionalFormatting sqref="I9:I27">
    <cfRule type="cellIs" dxfId="483" priority="64" operator="greaterThan">
      <formula>$D$4</formula>
    </cfRule>
  </conditionalFormatting>
  <conditionalFormatting sqref="F9:F27">
    <cfRule type="cellIs" dxfId="482" priority="63" operator="greaterThan">
      <formula>$H$2</formula>
    </cfRule>
  </conditionalFormatting>
  <conditionalFormatting sqref="C9">
    <cfRule type="expression" dxfId="481" priority="62">
      <formula>$D$9&gt;$D$2</formula>
    </cfRule>
  </conditionalFormatting>
  <conditionalFormatting sqref="C10">
    <cfRule type="expression" dxfId="480" priority="61">
      <formula>$D$10&gt;$D$2</formula>
    </cfRule>
  </conditionalFormatting>
  <conditionalFormatting sqref="C11">
    <cfRule type="expression" dxfId="479" priority="60">
      <formula>$D$11&gt;$D$2</formula>
    </cfRule>
  </conditionalFormatting>
  <conditionalFormatting sqref="C12">
    <cfRule type="expression" dxfId="478" priority="59">
      <formula>$D$12&gt;$D$2</formula>
    </cfRule>
  </conditionalFormatting>
  <conditionalFormatting sqref="C13">
    <cfRule type="expression" dxfId="477" priority="58">
      <formula>$D$13&gt;$D$2</formula>
    </cfRule>
  </conditionalFormatting>
  <conditionalFormatting sqref="C14">
    <cfRule type="expression" dxfId="476" priority="57">
      <formula>$D$14&gt;$D$2</formula>
    </cfRule>
  </conditionalFormatting>
  <conditionalFormatting sqref="C15">
    <cfRule type="expression" dxfId="475" priority="56">
      <formula>$D$15&gt;$D$2</formula>
    </cfRule>
  </conditionalFormatting>
  <conditionalFormatting sqref="C16">
    <cfRule type="expression" dxfId="474" priority="55">
      <formula>$D$16&gt;$D$2</formula>
    </cfRule>
  </conditionalFormatting>
  <conditionalFormatting sqref="C17">
    <cfRule type="expression" dxfId="473" priority="54">
      <formula>$D$17&gt;$D$2</formula>
    </cfRule>
  </conditionalFormatting>
  <conditionalFormatting sqref="C18">
    <cfRule type="expression" dxfId="472" priority="53">
      <formula>$D$18&gt;$D$2</formula>
    </cfRule>
  </conditionalFormatting>
  <conditionalFormatting sqref="C19">
    <cfRule type="expression" dxfId="471" priority="52">
      <formula>$D$19&gt;$D$2</formula>
    </cfRule>
  </conditionalFormatting>
  <conditionalFormatting sqref="C20">
    <cfRule type="expression" dxfId="470" priority="51">
      <formula>$D$20&gt;$D$2</formula>
    </cfRule>
  </conditionalFormatting>
  <conditionalFormatting sqref="C21">
    <cfRule type="expression" dxfId="469" priority="50">
      <formula>$D$21&gt;$D$2</formula>
    </cfRule>
  </conditionalFormatting>
  <conditionalFormatting sqref="C22">
    <cfRule type="expression" dxfId="468" priority="49">
      <formula>$D$22&gt;$D$2</formula>
    </cfRule>
  </conditionalFormatting>
  <conditionalFormatting sqref="C23">
    <cfRule type="expression" dxfId="467" priority="48">
      <formula>$D$23&gt;$D$2</formula>
    </cfRule>
  </conditionalFormatting>
  <conditionalFormatting sqref="C24">
    <cfRule type="expression" dxfId="466" priority="47">
      <formula>$D$24&gt;$D$2</formula>
    </cfRule>
  </conditionalFormatting>
  <conditionalFormatting sqref="C25">
    <cfRule type="expression" dxfId="465" priority="46">
      <formula>$D$25&gt;$D$2</formula>
    </cfRule>
  </conditionalFormatting>
  <conditionalFormatting sqref="C26">
    <cfRule type="expression" dxfId="464" priority="45">
      <formula>$D$26&gt;$D$2</formula>
    </cfRule>
  </conditionalFormatting>
  <conditionalFormatting sqref="C27">
    <cfRule type="expression" dxfId="463" priority="44">
      <formula>$D$27&gt;$D$2</formula>
    </cfRule>
  </conditionalFormatting>
  <conditionalFormatting sqref="D9:D27">
    <cfRule type="cellIs" dxfId="462" priority="43" operator="greaterThan">
      <formula>$D$2</formula>
    </cfRule>
  </conditionalFormatting>
  <conditionalFormatting sqref="H9">
    <cfRule type="cellIs" dxfId="461" priority="41" operator="greaterThan">
      <formula>$G$9</formula>
    </cfRule>
  </conditionalFormatting>
  <conditionalFormatting sqref="H10">
    <cfRule type="cellIs" dxfId="460" priority="40" operator="greaterThan">
      <formula>$G$10</formula>
    </cfRule>
  </conditionalFormatting>
  <conditionalFormatting sqref="H11">
    <cfRule type="cellIs" dxfId="459" priority="39" operator="greaterThan">
      <formula>$G$11</formula>
    </cfRule>
  </conditionalFormatting>
  <conditionalFormatting sqref="H12">
    <cfRule type="cellIs" dxfId="458" priority="38" operator="greaterThan">
      <formula>$G$12</formula>
    </cfRule>
  </conditionalFormatting>
  <conditionalFormatting sqref="H13">
    <cfRule type="cellIs" dxfId="457" priority="37" operator="greaterThan">
      <formula>$G$13</formula>
    </cfRule>
  </conditionalFormatting>
  <conditionalFormatting sqref="H14">
    <cfRule type="cellIs" dxfId="456" priority="36" operator="greaterThan">
      <formula>$G$14</formula>
    </cfRule>
  </conditionalFormatting>
  <conditionalFormatting sqref="H15">
    <cfRule type="cellIs" dxfId="455" priority="35" operator="greaterThan">
      <formula>$G$15</formula>
    </cfRule>
  </conditionalFormatting>
  <conditionalFormatting sqref="H16">
    <cfRule type="cellIs" dxfId="454" priority="34" operator="greaterThan">
      <formula>$G$16</formula>
    </cfRule>
  </conditionalFormatting>
  <conditionalFormatting sqref="H17">
    <cfRule type="cellIs" dxfId="453" priority="33" operator="greaterThan">
      <formula>$G$17</formula>
    </cfRule>
  </conditionalFormatting>
  <conditionalFormatting sqref="H18">
    <cfRule type="cellIs" dxfId="452" priority="32" operator="greaterThan">
      <formula>$G$18</formula>
    </cfRule>
  </conditionalFormatting>
  <conditionalFormatting sqref="H19">
    <cfRule type="cellIs" dxfId="451" priority="31" operator="greaterThan">
      <formula>$G$19</formula>
    </cfRule>
  </conditionalFormatting>
  <conditionalFormatting sqref="H20">
    <cfRule type="cellIs" dxfId="450" priority="30" operator="greaterThan">
      <formula>$G$20</formula>
    </cfRule>
  </conditionalFormatting>
  <conditionalFormatting sqref="H21">
    <cfRule type="cellIs" dxfId="449" priority="29" operator="greaterThan">
      <formula>$G$21</formula>
    </cfRule>
  </conditionalFormatting>
  <conditionalFormatting sqref="H22">
    <cfRule type="cellIs" dxfId="448" priority="28" operator="greaterThan">
      <formula>$G$22</formula>
    </cfRule>
  </conditionalFormatting>
  <conditionalFormatting sqref="H23">
    <cfRule type="cellIs" dxfId="447" priority="27" operator="greaterThan">
      <formula>$G$23</formula>
    </cfRule>
  </conditionalFormatting>
  <conditionalFormatting sqref="H24">
    <cfRule type="cellIs" dxfId="446" priority="26" operator="greaterThan">
      <formula>$G$24</formula>
    </cfRule>
  </conditionalFormatting>
  <conditionalFormatting sqref="H25">
    <cfRule type="cellIs" dxfId="445" priority="25" operator="greaterThan">
      <formula>$G$25</formula>
    </cfRule>
  </conditionalFormatting>
  <conditionalFormatting sqref="H26">
    <cfRule type="cellIs" dxfId="444" priority="24" operator="greaterThan">
      <formula>$G$26</formula>
    </cfRule>
  </conditionalFormatting>
  <conditionalFormatting sqref="H27">
    <cfRule type="cellIs" dxfId="443" priority="23" operator="greaterThan">
      <formula>$G$27</formula>
    </cfRule>
  </conditionalFormatting>
  <conditionalFormatting sqref="O9">
    <cfRule type="expression" dxfId="442" priority="22">
      <formula>$D$9&gt;$D$2</formula>
    </cfRule>
  </conditionalFormatting>
  <conditionalFormatting sqref="O10">
    <cfRule type="expression" dxfId="441" priority="21">
      <formula>$D$10&gt;$D$2</formula>
    </cfRule>
  </conditionalFormatting>
  <conditionalFormatting sqref="O11">
    <cfRule type="expression" dxfId="440" priority="20">
      <formula>$D$11&gt;$D$2</formula>
    </cfRule>
  </conditionalFormatting>
  <conditionalFormatting sqref="O12">
    <cfRule type="expression" dxfId="439" priority="19">
      <formula>$D$12&gt;$D$2</formula>
    </cfRule>
  </conditionalFormatting>
  <conditionalFormatting sqref="O13">
    <cfRule type="expression" dxfId="438" priority="18">
      <formula>$D$13&gt;$D$2</formula>
    </cfRule>
  </conditionalFormatting>
  <conditionalFormatting sqref="O14">
    <cfRule type="expression" dxfId="437" priority="17">
      <formula>$D$14&gt;$D$2</formula>
    </cfRule>
  </conditionalFormatting>
  <conditionalFormatting sqref="O15">
    <cfRule type="expression" dxfId="436" priority="16">
      <formula>$D$15&gt;$D$2</formula>
    </cfRule>
  </conditionalFormatting>
  <conditionalFormatting sqref="O16">
    <cfRule type="expression" dxfId="435" priority="15">
      <formula>$D$16&gt;$D$2</formula>
    </cfRule>
  </conditionalFormatting>
  <conditionalFormatting sqref="O17">
    <cfRule type="expression" dxfId="434" priority="14">
      <formula>$D$17&gt;$D$2</formula>
    </cfRule>
  </conditionalFormatting>
  <conditionalFormatting sqref="O18">
    <cfRule type="expression" dxfId="433" priority="13">
      <formula>$D$18&gt;$D$2</formula>
    </cfRule>
  </conditionalFormatting>
  <conditionalFormatting sqref="O19">
    <cfRule type="expression" dxfId="432" priority="12">
      <formula>$D$19&gt;$D$2</formula>
    </cfRule>
  </conditionalFormatting>
  <conditionalFormatting sqref="O20">
    <cfRule type="expression" dxfId="431" priority="11">
      <formula>$D$20&gt;$D$2</formula>
    </cfRule>
  </conditionalFormatting>
  <conditionalFormatting sqref="O21">
    <cfRule type="expression" dxfId="430" priority="10">
      <formula>$D$21&gt;$D$2</formula>
    </cfRule>
  </conditionalFormatting>
  <conditionalFormatting sqref="O22">
    <cfRule type="expression" dxfId="429" priority="9">
      <formula>$D$22&gt;$D$2</formula>
    </cfRule>
  </conditionalFormatting>
  <conditionalFormatting sqref="O23">
    <cfRule type="expression" dxfId="428" priority="8">
      <formula>$D$23&gt;$D$2</formula>
    </cfRule>
  </conditionalFormatting>
  <conditionalFormatting sqref="O24">
    <cfRule type="expression" dxfId="427" priority="7">
      <formula>$D$24&gt;$D$2</formula>
    </cfRule>
  </conditionalFormatting>
  <conditionalFormatting sqref="O25">
    <cfRule type="expression" dxfId="426" priority="6">
      <formula>$D$25&gt;$D$2</formula>
    </cfRule>
  </conditionalFormatting>
  <conditionalFormatting sqref="O26">
    <cfRule type="expression" dxfId="425" priority="5">
      <formula>$D$26&gt;$D$2</formula>
    </cfRule>
  </conditionalFormatting>
  <conditionalFormatting sqref="O27">
    <cfRule type="expression" dxfId="424" priority="4">
      <formula>$D$27&gt;$D$2</formula>
    </cfRule>
  </conditionalFormatting>
  <conditionalFormatting sqref="N9:N12 N14 N16:N20 N22:N23">
    <cfRule type="cellIs" dxfId="423" priority="3" operator="lessThan">
      <formula>1</formula>
    </cfRule>
  </conditionalFormatting>
  <conditionalFormatting sqref="O9:O27">
    <cfRule type="expression" dxfId="422" priority="1">
      <formula>$H$2&lt;1</formula>
    </cfRule>
  </conditionalFormatting>
  <dataValidations xWindow="33" yWindow="255" count="39">
    <dataValidation type="list" allowBlank="1" showInputMessage="1" showErrorMessage="1" sqref="O27">
      <formula1>$R$27:$R$28</formula1>
    </dataValidation>
    <dataValidation type="list" allowBlank="1" showInputMessage="1" showErrorMessage="1" sqref="O26">
      <formula1>$S$25:$S$26</formula1>
    </dataValidation>
    <dataValidation type="list" allowBlank="1" showInputMessage="1" showErrorMessage="1" sqref="O25">
      <formula1>$R$25:$R$26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0">
      <formula1>$S$9:$S$10</formula1>
    </dataValidation>
    <dataValidation type="list" errorStyle="warning" allowBlank="1" showInputMessage="1" showErrorMessage="1" sqref="O9">
      <formula1>$R$9:$R$10</formula1>
    </dataValidation>
    <dataValidation type="list" errorStyle="warning" showInputMessage="1" showErrorMessage="1" sqref="H2">
      <formula1>$R$2:$R$7</formula1>
    </dataValidation>
    <dataValidation allowBlank="1" showInputMessage="1" showErrorMessage="1" prompt="вызов белого волка с ледяных просторов севера (наносит кровотечение; защита от воздуха +100%, земли +25%, яда +10%, огня -50%)" sqref="C27"/>
    <dataValidation allowBlank="1" showInputMessage="1" showErrorMessage="1" prompt="вам на помощь приходит большой паук (отравляет; защита от земли +25%, яда +100%, воздуха -25%, дробящего урона -50%)" sqref="C26"/>
    <dataValidation allowBlank="1" showInputMessage="1" showErrorMessage="1" prompt="вызов элементаля земли (наносит урон от земли; наносит увечье; навык &quot;смертельные споры&quot;;  защита от земли +200%, яда +100%, воздуха -50%, рубящего урона -25%; после смерти остается слизь)" sqref="C25"/>
    <dataValidation allowBlank="1" showInputMessage="1" showErrorMessage="1" prompt="вызов роя ос-кровопийц, подчиняющихся вашей воле (наносит болезнь; защита от земли +50%, колющего урона +50%, яда +20%, воздуха -25%, дробящего урона -25%)" sqref="C24"/>
    <dataValidation allowBlank="1" showInputMessage="1" showErrorMessage="1" prompt="превращение в камень цели, находящейся неподалеку" sqref="C23"/>
    <dataValidation allowBlank="1" showInputMessage="1" showErrorMessage="1" prompt="проклятие противников вокруг вас" sqref="C22"/>
    <dataValidation allowBlank="1" showInputMessage="1" showErrorMessage="1" prompt="покрытие поверхности маслом" sqref="C21"/>
    <dataValidation allowBlank="1" showInputMessage="1" showErrorMessage="1" prompt="бросок волшебного отравленного дротика, наносящего урон от яда; создает слизь" sqref="C20"/>
    <dataValidation allowBlank="1" showInputMessage="1" showErrorMessage="1" prompt="бросок волшебной отравленной стрелы, наносящей урон от яда; создает слизь" sqref="C19"/>
    <dataValidation allowBlank="1" showInputMessage="1" showErrorMessage="1" prompt="цель становится невосприимчивой к ядам (отравлению); цель все равно может получать урон от ядов" sqref="C18"/>
    <dataValidation allowBlank="1" showInputMessage="1" showErrorMessage="1" prompt="облачение цели в магические доспехи" sqref="C17"/>
    <dataValidation allowBlank="1" showInputMessage="1" showErrorMessage="1" prompt="сбитие персонажей с ног, нанесение урона от стихии земли и покрытие поверхностей слизью в случайных местах" sqref="C16"/>
    <dataValidation allowBlank="1" showInputMessage="1" showErrorMessage="1" prompt="наложение земляного щита на себя или союзника (невосприимчивость к отравлению)" sqref="C15"/>
    <dataValidation allowBlank="1" showInputMessage="1" showErrorMessage="1" prompt="бросок нескольких ядовитых спор, каждая из которых наносит урон от яда" sqref="C14"/>
    <dataValidation allowBlank="1" showInputMessage="1" showErrorMessage="1" prompt="по прямой летит камень, наносящий урон от стихии земли всем, кто окажется на его пути; при разрушении создает слизь;_x000a_создается из свитка" sqref="C13"/>
    <dataValidation allowBlank="1" showInputMessage="1" showErrorMessage="1" prompt="с неба обрушивается огромный камень, наносящий урон от стихии земли всему в радиусе 2м; может сбить с ног; создает слизь" sqref="C12"/>
    <dataValidation allowBlank="1" showInputMessage="1" showErrorMessage="1" prompt="благословление союзников вокруг вас (увеличивает шанс ударить)" sqref="C11"/>
    <dataValidation allowBlank="1" showInputMessage="1" showErrorMessage="1" prompt="благословление цели (увеличивает шанс ударить)" sqref="C10"/>
    <dataValidation allowBlank="1" showInputMessage="1" showErrorMessage="1" prompt="отравление нескольких целей и нанесение им урона от яда (область конуса)" sqref="C9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114" customWidth="1"/>
    <col min="16" max="16" width="10" style="45" customWidth="1"/>
    <col min="17" max="17" width="8.88671875" style="44" customWidth="1"/>
    <col min="18" max="18" width="8.88671875" style="114" hidden="1" customWidth="1"/>
    <col min="19" max="19" width="8.7773437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11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IF((IF(H2=1,3-L4,IF(H2=2,5-L4,IF(H2=3,7-L4,IF(H2=4,9-L4,IF(H2=5,18-L4,""))))))&gt;-1,(IF(H2=1,3-L4,IF(H2=2,5-L4,IF(H2=3,7-L4,IF(H2=4,9-L4,IF(H2=5,18-L4,"")))))),"!!!")</f>
        <v/>
      </c>
      <c r="M2" s="112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117" t="s">
        <v>196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SUM(O9:O26)</f>
        <v>0</v>
      </c>
      <c r="M4" s="112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92" t="s">
        <v>187</v>
      </c>
      <c r="K7" s="392"/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118" t="s">
        <v>28</v>
      </c>
      <c r="H8" s="114" t="s">
        <v>190</v>
      </c>
      <c r="I8" s="392"/>
      <c r="J8" s="118" t="s">
        <v>28</v>
      </c>
      <c r="K8" s="114" t="s">
        <v>190</v>
      </c>
      <c r="L8" s="392"/>
      <c r="M8" s="392"/>
      <c r="N8" s="391"/>
      <c r="O8" s="391"/>
    </row>
    <row r="9" spans="1:20" x14ac:dyDescent="0.3">
      <c r="A9" s="114">
        <v>1</v>
      </c>
      <c r="B9" s="36"/>
      <c r="C9" s="44" t="s">
        <v>229</v>
      </c>
      <c r="D9" s="56">
        <v>10</v>
      </c>
      <c r="E9" s="56">
        <v>11</v>
      </c>
      <c r="F9" s="56">
        <v>3</v>
      </c>
      <c r="G9" s="56">
        <v>6</v>
      </c>
      <c r="H9" s="56">
        <f>IF((H2&lt;F9),G9+(F9-H2)*2,G9)</f>
        <v>12</v>
      </c>
      <c r="I9" s="56">
        <v>11</v>
      </c>
      <c r="J9" s="56">
        <v>7</v>
      </c>
      <c r="K9" s="56">
        <f>MAX((IF(ROUNDDOWN((D4-4)/2,0)&gt;0,J9-ROUNDDOWN((D4-4)/2,0),J9)),1)</f>
        <v>7</v>
      </c>
      <c r="L9" s="56">
        <v>15</v>
      </c>
      <c r="M9" s="56" t="s">
        <v>214</v>
      </c>
      <c r="N9" s="70">
        <f>IF(I9&gt;D4,(D4-I9)*10%,(D4-I9)*5%)</f>
        <v>-1.1000000000000001</v>
      </c>
      <c r="O9" s="58"/>
      <c r="R9" s="12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114">
        <v>2</v>
      </c>
      <c r="B10" s="36"/>
      <c r="C10" s="67" t="s">
        <v>230</v>
      </c>
      <c r="D10" s="56">
        <v>7</v>
      </c>
      <c r="E10" s="56">
        <v>7</v>
      </c>
      <c r="F10" s="56">
        <v>2</v>
      </c>
      <c r="G10" s="56">
        <v>3</v>
      </c>
      <c r="H10" s="56">
        <f>IF((H2&lt;F10),G10+(F10-H2)*2,G10)</f>
        <v>7</v>
      </c>
      <c r="I10" s="56">
        <v>9</v>
      </c>
      <c r="J10" s="56">
        <v>7</v>
      </c>
      <c r="K10" s="56">
        <f>MAX((IF(ROUNDDOWN((D4-4)/2,0)&gt;0,J10-ROUNDDOWN((D4-4)/2,0),J10)),1)</f>
        <v>7</v>
      </c>
      <c r="L10" s="56">
        <v>3</v>
      </c>
      <c r="M10" s="56">
        <v>3</v>
      </c>
      <c r="N10" s="61">
        <f>IF(I10&gt;D4,IF((100%+(D4-I10)*10%)&lt;10%,10%,100%+(D4-I10)*10%),100%+(D4-I10)*5%)</f>
        <v>9.9999999999999978E-2</v>
      </c>
      <c r="O10" s="58"/>
      <c r="R10" s="62"/>
      <c r="S10" s="54"/>
    </row>
    <row r="11" spans="1:20" x14ac:dyDescent="0.3">
      <c r="A11" s="114">
        <v>3</v>
      </c>
      <c r="B11" s="36"/>
      <c r="C11" s="44" t="s">
        <v>245</v>
      </c>
      <c r="D11" s="56">
        <v>18</v>
      </c>
      <c r="E11" s="56">
        <v>19</v>
      </c>
      <c r="F11" s="56">
        <v>5</v>
      </c>
      <c r="G11" s="56">
        <v>9</v>
      </c>
      <c r="H11" s="56">
        <f>IF((H2&lt;F11),G11+(F11-H2)*2,G11)</f>
        <v>19</v>
      </c>
      <c r="I11" s="56">
        <v>13</v>
      </c>
      <c r="J11" s="56">
        <v>20</v>
      </c>
      <c r="K11" s="56">
        <f>MAX((IF(ROUNDDOWN((D4-4)/2,0)&gt;0,J11-ROUNDDOWN((D4-4)/2,0),J11)),1)</f>
        <v>20</v>
      </c>
      <c r="L11" s="56" t="s">
        <v>249</v>
      </c>
      <c r="M11" s="56">
        <v>2</v>
      </c>
      <c r="N11" s="61">
        <f>IF(I11&gt;D4,IF((80%+(D4-I11)*10%)&lt;10%,10%,80%+(D4-I11)*10%),80%+(D4-I11)*5%)</f>
        <v>0.1</v>
      </c>
      <c r="O11" s="58"/>
      <c r="R11" s="12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114">
        <v>4</v>
      </c>
      <c r="B12" s="36"/>
      <c r="C12" s="44" t="s">
        <v>231</v>
      </c>
      <c r="D12" s="56">
        <v>4</v>
      </c>
      <c r="E12" s="56">
        <v>4</v>
      </c>
      <c r="F12" s="56">
        <v>1</v>
      </c>
      <c r="G12" s="56">
        <v>6</v>
      </c>
      <c r="H12" s="56">
        <f>IF((H2&lt;F12),G12+(F12-H2)*2,G12)</f>
        <v>8</v>
      </c>
      <c r="I12" s="56">
        <v>8</v>
      </c>
      <c r="J12" s="56">
        <v>3</v>
      </c>
      <c r="K12" s="56">
        <f>MAX((IF(ROUNDDOWN((D4-4)/2,0)&gt;0,J12-ROUNDDOWN((D4-4)/2,0),J12)),1)</f>
        <v>3</v>
      </c>
      <c r="L12" s="56">
        <v>15</v>
      </c>
      <c r="M12" s="56">
        <v>3</v>
      </c>
      <c r="N12" s="61">
        <f>IF(I12&gt;D4,IF((50%+(D4-I12)*10%)&lt;10%,10%,50%+(D4-I12)*10%),50%+(D4-I12)*5%)</f>
        <v>0.1</v>
      </c>
      <c r="O12" s="58"/>
      <c r="R12" s="62"/>
      <c r="S12" s="54"/>
    </row>
    <row r="13" spans="1:20" x14ac:dyDescent="0.3">
      <c r="A13" s="114">
        <v>5</v>
      </c>
      <c r="B13" s="36"/>
      <c r="C13" s="44" t="s">
        <v>232</v>
      </c>
      <c r="D13" s="56">
        <v>10</v>
      </c>
      <c r="E13" s="56">
        <v>10</v>
      </c>
      <c r="F13" s="56">
        <v>3</v>
      </c>
      <c r="G13" s="56">
        <v>8</v>
      </c>
      <c r="H13" s="56">
        <f>IF((H2&lt;F13),G13+(F13-H2)*2,G13)</f>
        <v>14</v>
      </c>
      <c r="I13" s="56">
        <v>10</v>
      </c>
      <c r="J13" s="56">
        <v>10</v>
      </c>
      <c r="K13" s="56">
        <f>MAX((IF(ROUNDDOWN((D4-4)/2,0)&gt;0,J13-ROUNDDOWN((D4-4)/2,0),J13)),1)</f>
        <v>10</v>
      </c>
      <c r="L13" s="56" t="s">
        <v>246</v>
      </c>
      <c r="M13" s="56">
        <v>2</v>
      </c>
      <c r="N13" s="61">
        <f>IF(I13&gt;D4,IF((100%+(D4-I13)*10%)&lt;10%,10%,100%+(D4-I13)*10%),100%+(D4-I13)*5%)</f>
        <v>0.1</v>
      </c>
      <c r="O13" s="58"/>
      <c r="R13" s="12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114">
        <v>6</v>
      </c>
      <c r="B14" s="36"/>
      <c r="C14" s="44" t="s">
        <v>233</v>
      </c>
      <c r="D14" s="56">
        <v>4</v>
      </c>
      <c r="E14" s="56">
        <v>6</v>
      </c>
      <c r="F14" s="56">
        <v>2</v>
      </c>
      <c r="G14" s="56">
        <v>4</v>
      </c>
      <c r="H14" s="56">
        <f>IF((H2&lt;F14),G14+(F14-H2)*2,G14)</f>
        <v>8</v>
      </c>
      <c r="I14" s="56">
        <v>9</v>
      </c>
      <c r="J14" s="56">
        <v>5</v>
      </c>
      <c r="K14" s="56">
        <f>MAX((IF(ROUNDDOWN((D4-4)/2,0)&gt;0,J14-ROUNDDOWN((D4-4)/2,0),J14)),1)</f>
        <v>5</v>
      </c>
      <c r="L14" s="56">
        <v>5</v>
      </c>
      <c r="M14" s="56">
        <v>3</v>
      </c>
      <c r="N14" s="61">
        <f>IF(I14&gt;D4,IF((100%+(D4-I14)*10%)&lt;10%,10%,100%+(D4-I14)*10%),100%+(D4-I14)*5%)</f>
        <v>9.9999999999999978E-2</v>
      </c>
      <c r="O14" s="58"/>
      <c r="R14" s="62"/>
      <c r="S14" s="54"/>
    </row>
    <row r="15" spans="1:20" x14ac:dyDescent="0.3">
      <c r="A15" s="114">
        <v>7</v>
      </c>
      <c r="B15" s="36"/>
      <c r="C15" s="44" t="s">
        <v>234</v>
      </c>
      <c r="D15" s="56">
        <v>13</v>
      </c>
      <c r="E15" s="56">
        <v>13</v>
      </c>
      <c r="F15" s="56">
        <v>4</v>
      </c>
      <c r="G15" s="56">
        <v>7</v>
      </c>
      <c r="H15" s="56">
        <f>IF((H2&lt;F15),G15+(F15-H2)*2,G15)</f>
        <v>15</v>
      </c>
      <c r="I15" s="56">
        <v>11</v>
      </c>
      <c r="J15" s="56">
        <v>8</v>
      </c>
      <c r="K15" s="56">
        <f>MAX((IF(ROUNDDOWN((D4-4)/2,0)&gt;0,J15-ROUNDDOWN((D4-4)/2,0),J15)),1)</f>
        <v>8</v>
      </c>
      <c r="L15" s="56" t="s">
        <v>250</v>
      </c>
      <c r="M15" s="56">
        <v>2</v>
      </c>
      <c r="N15" s="61">
        <f>IF(I15&gt;D4,IF((100%+(D4-I15)*10%)&lt;10%,10%,100%+(D4-I15)*10%),100%+(D4-I15)*5%)</f>
        <v>0.1</v>
      </c>
      <c r="O15" s="58"/>
      <c r="R15" s="12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114">
        <v>8</v>
      </c>
      <c r="B16" s="36"/>
      <c r="C16" s="44" t="s">
        <v>235</v>
      </c>
      <c r="D16" s="56">
        <v>16</v>
      </c>
      <c r="E16" s="56">
        <v>16</v>
      </c>
      <c r="F16" s="56">
        <v>4</v>
      </c>
      <c r="G16" s="56">
        <v>8</v>
      </c>
      <c r="H16" s="56">
        <f>IF((H2&lt;F16),G16+(F16-H2)*2,G16)</f>
        <v>16</v>
      </c>
      <c r="I16" s="56">
        <v>12</v>
      </c>
      <c r="J16" s="56">
        <v>12</v>
      </c>
      <c r="K16" s="56">
        <f>MAX((IF(ROUNDDOWN((D4-4)/2,0)&gt;0,J16-ROUNDDOWN((D4-4)/2,0),J16)),1)</f>
        <v>12</v>
      </c>
      <c r="L16" s="56" t="s">
        <v>247</v>
      </c>
      <c r="M16" s="56">
        <v>3</v>
      </c>
      <c r="N16" s="61">
        <f>IF(I16&gt;D4,IF((100%+(D4-I16)*10%)&lt;10%,10%,100%+(D4-I16)*10%),100%+(D4-I16)*5%)</f>
        <v>0.1</v>
      </c>
      <c r="O16" s="58"/>
      <c r="R16" s="62"/>
      <c r="S16" s="54"/>
    </row>
    <row r="17" spans="1:19" x14ac:dyDescent="0.3">
      <c r="A17" s="114">
        <v>9</v>
      </c>
      <c r="B17" s="36"/>
      <c r="C17" s="44" t="s">
        <v>236</v>
      </c>
      <c r="D17" s="56">
        <v>1</v>
      </c>
      <c r="E17" s="56">
        <v>2</v>
      </c>
      <c r="F17" s="56">
        <v>1</v>
      </c>
      <c r="G17" s="56">
        <v>4</v>
      </c>
      <c r="H17" s="56">
        <f>IF((H2&lt;F17),G17+(F17-H2)*2,G17)</f>
        <v>6</v>
      </c>
      <c r="I17" s="56">
        <v>8</v>
      </c>
      <c r="J17" s="56">
        <v>5</v>
      </c>
      <c r="K17" s="56">
        <f>MAX((IF(ROUNDDOWN((D4-4)/2,0)&gt;0,J17-ROUNDDOWN((D4-4)/2,0),J17)),1)</f>
        <v>5</v>
      </c>
      <c r="L17" s="56">
        <v>15</v>
      </c>
      <c r="M17" s="56">
        <v>3</v>
      </c>
      <c r="N17" s="70">
        <f>IF(I17&gt;D4,(D4-I17)*10%,(D4-I17)*5%)</f>
        <v>-0.8</v>
      </c>
      <c r="O17" s="58"/>
      <c r="R17" s="12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114">
        <v>10</v>
      </c>
      <c r="B18" s="36"/>
      <c r="C18" s="44" t="s">
        <v>237</v>
      </c>
      <c r="D18" s="56">
        <v>7</v>
      </c>
      <c r="E18" s="56">
        <v>9</v>
      </c>
      <c r="F18" s="56">
        <v>3</v>
      </c>
      <c r="G18" s="56">
        <v>6</v>
      </c>
      <c r="H18" s="56">
        <f>IF((H2&lt;F18),G18+(F18-H2)*2,G18)</f>
        <v>12</v>
      </c>
      <c r="I18" s="56">
        <v>10</v>
      </c>
      <c r="J18" s="56">
        <v>5</v>
      </c>
      <c r="K18" s="56">
        <f>MAX((IF(ROUNDDOWN((D4-4)/2,0)&gt;0,J18-ROUNDDOWN((D4-4)/2,0),J18)),1)</f>
        <v>5</v>
      </c>
      <c r="L18" s="56">
        <v>15</v>
      </c>
      <c r="M18" s="56">
        <v>1</v>
      </c>
      <c r="N18" s="61">
        <f>IF(I18&gt;D4,IF((70%+(D4-I18)*10%)&lt;10%,10%,70%+(D4-I18)*10%),70%+(D4-I18)*5%)</f>
        <v>0.1</v>
      </c>
      <c r="O18" s="58"/>
      <c r="R18" s="62"/>
      <c r="S18" s="54"/>
    </row>
    <row r="19" spans="1:19" x14ac:dyDescent="0.3">
      <c r="A19" s="114">
        <v>11</v>
      </c>
      <c r="B19" s="36"/>
      <c r="C19" s="44" t="s">
        <v>238</v>
      </c>
      <c r="D19" s="56">
        <v>1</v>
      </c>
      <c r="E19" s="56">
        <v>3</v>
      </c>
      <c r="F19" s="56">
        <v>1</v>
      </c>
      <c r="G19" s="56">
        <v>4</v>
      </c>
      <c r="H19" s="56">
        <f>IF((H2&lt;F19),G19+(F19-H2)*2,G19)</f>
        <v>6</v>
      </c>
      <c r="I19" s="56">
        <v>8</v>
      </c>
      <c r="J19" s="56">
        <v>6</v>
      </c>
      <c r="K19" s="56">
        <f>MAX((IF(ROUNDDOWN((D4-4)/2,0)&gt;0,J19-ROUNDDOWN((D4-4)/2,0),J19)),1)</f>
        <v>6</v>
      </c>
      <c r="L19" s="56" t="s">
        <v>251</v>
      </c>
      <c r="M19" s="56">
        <v>5</v>
      </c>
      <c r="N19" s="61">
        <f>IF(I19&gt;D4,IF((100%+(D4-I19)*10%)&lt;10%,10%,100%+(D4-I19)*10%),100%+(D4-I19)*5%)</f>
        <v>0.19999999999999996</v>
      </c>
      <c r="O19" s="58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114">
        <v>12</v>
      </c>
      <c r="B20" s="36"/>
      <c r="C20" s="44" t="s">
        <v>239</v>
      </c>
      <c r="D20" s="56">
        <v>16</v>
      </c>
      <c r="E20" s="56">
        <v>14</v>
      </c>
      <c r="F20" s="56">
        <v>4</v>
      </c>
      <c r="G20" s="56">
        <v>4</v>
      </c>
      <c r="H20" s="56">
        <f>IF((H2&lt;F20),G20+(F20-H2)*2,G20)</f>
        <v>12</v>
      </c>
      <c r="I20" s="56">
        <v>12</v>
      </c>
      <c r="J20" s="56">
        <v>12</v>
      </c>
      <c r="K20" s="56">
        <f>MAX((IF(ROUNDDOWN((D4-4)/2,0)&gt;0,J20-ROUNDDOWN((D4-4)/2,0),J20)),1)</f>
        <v>12</v>
      </c>
      <c r="L20" s="56">
        <v>15</v>
      </c>
      <c r="M20" s="56">
        <v>1</v>
      </c>
      <c r="N20" s="70">
        <f>IF(I20&gt;D4,(D4-I20)*10%,(D4-I20)*5%)</f>
        <v>-1.2000000000000002</v>
      </c>
      <c r="O20" s="58"/>
      <c r="R20" s="63"/>
      <c r="S20" s="63"/>
    </row>
    <row r="21" spans="1:19" x14ac:dyDescent="0.3">
      <c r="A21" s="114">
        <v>13</v>
      </c>
      <c r="B21" s="36"/>
      <c r="C21" s="44" t="s">
        <v>240</v>
      </c>
      <c r="D21" s="56">
        <v>1</v>
      </c>
      <c r="E21" s="56">
        <v>2</v>
      </c>
      <c r="F21" s="56">
        <v>1</v>
      </c>
      <c r="G21" s="56">
        <v>4</v>
      </c>
      <c r="H21" s="56">
        <f>IF((H2&lt;F21),G21+(F21-H2)*2,G21)</f>
        <v>6</v>
      </c>
      <c r="I21" s="56">
        <v>8</v>
      </c>
      <c r="J21" s="56">
        <v>7</v>
      </c>
      <c r="K21" s="56">
        <f>MAX((IF(ROUNDDOWN((D4-4)/2,0)&gt;0,J21-ROUNDDOWN((D4-4)/2,0),J21)),1)</f>
        <v>7</v>
      </c>
      <c r="L21" s="56">
        <v>15</v>
      </c>
      <c r="M21" s="56">
        <v>3</v>
      </c>
      <c r="N21" s="61">
        <f>IF(I21&gt;D4,IF((100%+(D4-I21)*10%)&lt;10%,10%,100%+(D4-I21)*10%),100%+(D4-I21)*5%)</f>
        <v>0.19999999999999996</v>
      </c>
      <c r="O21" s="58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114">
        <v>14</v>
      </c>
      <c r="B22" s="36"/>
      <c r="C22" s="44" t="s">
        <v>241</v>
      </c>
      <c r="D22" s="56">
        <v>7</v>
      </c>
      <c r="E22" s="56">
        <v>9</v>
      </c>
      <c r="F22" s="56">
        <v>3</v>
      </c>
      <c r="G22" s="56">
        <v>4</v>
      </c>
      <c r="H22" s="56">
        <f>IF((H2&lt;F22),G22+(F22-H2)*2,G22)</f>
        <v>10</v>
      </c>
      <c r="I22" s="56">
        <v>10</v>
      </c>
      <c r="J22" s="56">
        <v>9</v>
      </c>
      <c r="K22" s="56">
        <f>MAX((IF(ROUNDDOWN((D4-4)/2,0)&gt;0,J22-ROUNDDOWN((D4-4)/2,0),J22)),1)</f>
        <v>9</v>
      </c>
      <c r="L22" s="56">
        <v>15</v>
      </c>
      <c r="M22" s="56">
        <v>2</v>
      </c>
      <c r="N22" s="70">
        <f>IF(I22&gt;D4,(D4-I22)*10%,(D4-I22)*5%)</f>
        <v>-1</v>
      </c>
      <c r="O22" s="58"/>
      <c r="R22" s="63"/>
      <c r="S22" s="63"/>
    </row>
    <row r="23" spans="1:19" x14ac:dyDescent="0.3">
      <c r="A23" s="114">
        <v>15</v>
      </c>
      <c r="B23" s="36"/>
      <c r="C23" s="44" t="s">
        <v>242</v>
      </c>
      <c r="D23" s="56">
        <v>7</v>
      </c>
      <c r="E23" s="56">
        <v>8</v>
      </c>
      <c r="F23" s="56">
        <v>2</v>
      </c>
      <c r="G23" s="56">
        <v>7</v>
      </c>
      <c r="H23" s="56">
        <f>IF((H2&lt;F23),G23+(F23-H2)*2,G23)</f>
        <v>11</v>
      </c>
      <c r="I23" s="56">
        <v>10</v>
      </c>
      <c r="J23" s="56">
        <v>6</v>
      </c>
      <c r="K23" s="56">
        <f>MAX((IF(ROUNDDOWN((D4-4)/2,0)&gt;0,J23-ROUNDDOWN((D4-4)/2,0),J23)),1)</f>
        <v>6</v>
      </c>
      <c r="L23" s="56">
        <v>15</v>
      </c>
      <c r="M23" s="56">
        <v>5</v>
      </c>
      <c r="N23" s="70">
        <f>IF(I23&gt;D4,(D4-I23)*10%,(D4-I23)*5%)</f>
        <v>-1</v>
      </c>
      <c r="O23" s="58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114">
        <v>16</v>
      </c>
      <c r="B24" s="36"/>
      <c r="C24" s="44" t="s">
        <v>248</v>
      </c>
      <c r="D24" s="56">
        <v>10</v>
      </c>
      <c r="E24" s="56">
        <v>12</v>
      </c>
      <c r="F24" s="56">
        <v>3</v>
      </c>
      <c r="G24" s="56">
        <v>5</v>
      </c>
      <c r="H24" s="56">
        <f>IF((H2&lt;F24),G24+(F24-H2)*2,G24)</f>
        <v>11</v>
      </c>
      <c r="I24" s="56">
        <v>11</v>
      </c>
      <c r="J24" s="56">
        <v>6</v>
      </c>
      <c r="K24" s="56">
        <f>MAX((IF(ROUNDDOWN((D4-4)/2,0)&gt;0,J24-ROUNDDOWN((D4-4)/2,0),J24)),1)</f>
        <v>6</v>
      </c>
      <c r="L24" s="56">
        <v>15</v>
      </c>
      <c r="M24" s="56">
        <v>3</v>
      </c>
      <c r="N24" s="70">
        <f>IF(I24&gt;D4,(D4-I24)*10%,(D4-I24)*5%)</f>
        <v>-1.1000000000000001</v>
      </c>
      <c r="O24" s="58"/>
      <c r="R24" s="63"/>
      <c r="S24" s="63"/>
    </row>
    <row r="25" spans="1:19" x14ac:dyDescent="0.3">
      <c r="A25" s="114">
        <v>17</v>
      </c>
      <c r="B25" s="36"/>
      <c r="C25" s="44" t="s">
        <v>243</v>
      </c>
      <c r="D25" s="56">
        <v>1</v>
      </c>
      <c r="E25" s="56">
        <v>2</v>
      </c>
      <c r="F25" s="56">
        <v>1</v>
      </c>
      <c r="G25" s="56">
        <v>4</v>
      </c>
      <c r="H25" s="56">
        <f>IF((H2&lt;F25),G25+(F25-H2)*2,G25)</f>
        <v>6</v>
      </c>
      <c r="I25" s="56">
        <v>8</v>
      </c>
      <c r="J25" s="56">
        <v>12</v>
      </c>
      <c r="K25" s="56">
        <f>MAX((IF(ROUNDDOWN((D4-4)/2,0)&gt;0,J25-ROUNDDOWN((D4-4)/2,0),J25)),1)</f>
        <v>12</v>
      </c>
      <c r="L25" s="56" t="s">
        <v>194</v>
      </c>
      <c r="M25" s="56">
        <v>4</v>
      </c>
      <c r="N25" s="61">
        <f>IF(I25&gt;D4,IF((100%+(D4-I25)*10%)&lt;10%,10%,100%+(D4-I25)*10%),100%+(D4-I25)*5%)</f>
        <v>0.19999999999999996</v>
      </c>
      <c r="O25" s="58"/>
      <c r="R25" s="49" t="str">
        <f>IF(AND(D25&lt;=D2,H2&gt;0),1,"нельзя")</f>
        <v>нельзя</v>
      </c>
      <c r="S25" s="49" t="str">
        <f>IF(AND(D26&lt;=D2,H2&gt;0),1,"нельзя")</f>
        <v>нельзя</v>
      </c>
    </row>
    <row r="26" spans="1:19" x14ac:dyDescent="0.3">
      <c r="A26" s="114">
        <v>18</v>
      </c>
      <c r="B26" s="36"/>
      <c r="C26" s="44" t="s">
        <v>244</v>
      </c>
      <c r="D26" s="56">
        <v>16</v>
      </c>
      <c r="E26" s="56">
        <v>14</v>
      </c>
      <c r="F26" s="56">
        <v>4</v>
      </c>
      <c r="G26" s="56">
        <v>8</v>
      </c>
      <c r="H26" s="56">
        <f>IF((H2&lt;F26),G26+(F26-H2)*2,G26)</f>
        <v>16</v>
      </c>
      <c r="I26" s="56">
        <v>12</v>
      </c>
      <c r="J26" s="56">
        <v>15</v>
      </c>
      <c r="K26" s="56">
        <f>MAX((IF(ROUNDDOWN((D4-4)/2,0)&gt;0,J26-ROUNDDOWN((D4-4)/2,0),J26)),1)</f>
        <v>15</v>
      </c>
      <c r="L26" s="56">
        <v>7</v>
      </c>
      <c r="M26" s="56">
        <v>2</v>
      </c>
      <c r="N26" s="61">
        <f>IF(I26&gt;D4,IF((100%+(D4-I26)*10%)&lt;10%,10%,100%+(D4-I26)*10%),100%+(D4-I26)*5%)</f>
        <v>0.1</v>
      </c>
      <c r="O26" s="58"/>
      <c r="R26" s="63"/>
      <c r="S26" s="63"/>
    </row>
    <row r="27" spans="1:19" x14ac:dyDescent="0.3">
      <c r="R27" s="44"/>
    </row>
    <row r="28" spans="1:19" x14ac:dyDescent="0.3">
      <c r="R28" s="44"/>
    </row>
    <row r="29" spans="1:19" x14ac:dyDescent="0.3">
      <c r="R29" s="112"/>
    </row>
  </sheetData>
  <sheetProtection sheet="1" objects="1" scenarios="1"/>
  <mergeCells count="17"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  <mergeCell ref="O7:O8"/>
    <mergeCell ref="G7:H7"/>
    <mergeCell ref="I7:I8"/>
    <mergeCell ref="J7:K7"/>
    <mergeCell ref="L7:L8"/>
    <mergeCell ref="M7:M8"/>
    <mergeCell ref="N7:N8"/>
  </mergeCells>
  <conditionalFormatting sqref="L2:M2">
    <cfRule type="containsText" dxfId="421" priority="64" operator="containsText" text="!!!">
      <formula>NOT(ISERROR(SEARCH("!!!",L2)))</formula>
    </cfRule>
  </conditionalFormatting>
  <conditionalFormatting sqref="I9:I26">
    <cfRule type="cellIs" dxfId="420" priority="63" operator="greaterThan">
      <formula>$D$4</formula>
    </cfRule>
  </conditionalFormatting>
  <conditionalFormatting sqref="F9:F26">
    <cfRule type="cellIs" dxfId="419" priority="62" operator="greaterThan">
      <formula>$H$2</formula>
    </cfRule>
  </conditionalFormatting>
  <conditionalFormatting sqref="C9">
    <cfRule type="expression" dxfId="418" priority="61">
      <formula>$D$9&gt;$D$2</formula>
    </cfRule>
  </conditionalFormatting>
  <conditionalFormatting sqref="C10">
    <cfRule type="expression" dxfId="417" priority="60">
      <formula>$D$10&gt;$D$2</formula>
    </cfRule>
  </conditionalFormatting>
  <conditionalFormatting sqref="C11">
    <cfRule type="expression" dxfId="416" priority="59">
      <formula>$D$11&gt;$D$2</formula>
    </cfRule>
  </conditionalFormatting>
  <conditionalFormatting sqref="C12">
    <cfRule type="expression" dxfId="415" priority="58">
      <formula>$D$12&gt;$D$2</formula>
    </cfRule>
  </conditionalFormatting>
  <conditionalFormatting sqref="C13">
    <cfRule type="expression" dxfId="414" priority="57">
      <formula>$D$13&gt;$D$2</formula>
    </cfRule>
  </conditionalFormatting>
  <conditionalFormatting sqref="C14">
    <cfRule type="expression" dxfId="413" priority="56">
      <formula>$D$14&gt;$D$2</formula>
    </cfRule>
  </conditionalFormatting>
  <conditionalFormatting sqref="C15">
    <cfRule type="expression" dxfId="412" priority="55">
      <formula>$D$15&gt;$D$2</formula>
    </cfRule>
  </conditionalFormatting>
  <conditionalFormatting sqref="C16">
    <cfRule type="expression" dxfId="411" priority="54">
      <formula>$D$16&gt;$D$2</formula>
    </cfRule>
  </conditionalFormatting>
  <conditionalFormatting sqref="C17">
    <cfRule type="expression" dxfId="410" priority="53">
      <formula>$D$17&gt;$D$2</formula>
    </cfRule>
  </conditionalFormatting>
  <conditionalFormatting sqref="C18">
    <cfRule type="expression" dxfId="409" priority="52">
      <formula>$D$18&gt;$D$2</formula>
    </cfRule>
  </conditionalFormatting>
  <conditionalFormatting sqref="C19">
    <cfRule type="expression" dxfId="408" priority="51">
      <formula>$D$19&gt;$D$2</formula>
    </cfRule>
  </conditionalFormatting>
  <conditionalFormatting sqref="C20">
    <cfRule type="expression" dxfId="407" priority="50">
      <formula>$D$20&gt;$D$2</formula>
    </cfRule>
  </conditionalFormatting>
  <conditionalFormatting sqref="C21">
    <cfRule type="expression" dxfId="406" priority="49">
      <formula>$D$21&gt;$D$2</formula>
    </cfRule>
  </conditionalFormatting>
  <conditionalFormatting sqref="C22">
    <cfRule type="expression" dxfId="405" priority="48">
      <formula>$D$22&gt;$D$2</formula>
    </cfRule>
  </conditionalFormatting>
  <conditionalFormatting sqref="C23">
    <cfRule type="expression" dxfId="404" priority="47">
      <formula>$D$23&gt;$D$2</formula>
    </cfRule>
  </conditionalFormatting>
  <conditionalFormatting sqref="C24">
    <cfRule type="expression" dxfId="403" priority="46">
      <formula>$D$24&gt;$D$2</formula>
    </cfRule>
  </conditionalFormatting>
  <conditionalFormatting sqref="C25">
    <cfRule type="expression" dxfId="402" priority="45">
      <formula>$D$25&gt;$D$2</formula>
    </cfRule>
  </conditionalFormatting>
  <conditionalFormatting sqref="C26">
    <cfRule type="expression" dxfId="401" priority="44">
      <formula>$D$26&gt;$D$2</formula>
    </cfRule>
  </conditionalFormatting>
  <conditionalFormatting sqref="D9:D26">
    <cfRule type="cellIs" dxfId="400" priority="42" operator="greaterThan">
      <formula>$D$2</formula>
    </cfRule>
  </conditionalFormatting>
  <conditionalFormatting sqref="H9">
    <cfRule type="cellIs" dxfId="399" priority="41" operator="greaterThan">
      <formula>$G$9</formula>
    </cfRule>
  </conditionalFormatting>
  <conditionalFormatting sqref="H10">
    <cfRule type="cellIs" dxfId="398" priority="40" operator="greaterThan">
      <formula>$G$10</formula>
    </cfRule>
  </conditionalFormatting>
  <conditionalFormatting sqref="H11">
    <cfRule type="cellIs" dxfId="397" priority="39" operator="greaterThan">
      <formula>$G$11</formula>
    </cfRule>
  </conditionalFormatting>
  <conditionalFormatting sqref="H12">
    <cfRule type="cellIs" dxfId="396" priority="38" operator="greaterThan">
      <formula>$G$12</formula>
    </cfRule>
  </conditionalFormatting>
  <conditionalFormatting sqref="H13">
    <cfRule type="cellIs" dxfId="395" priority="37" operator="greaterThan">
      <formula>$G$13</formula>
    </cfRule>
  </conditionalFormatting>
  <conditionalFormatting sqref="H14">
    <cfRule type="cellIs" dxfId="394" priority="36" operator="greaterThan">
      <formula>$G$14</formula>
    </cfRule>
  </conditionalFormatting>
  <conditionalFormatting sqref="H15">
    <cfRule type="cellIs" dxfId="393" priority="35" operator="greaterThan">
      <formula>$G$15</formula>
    </cfRule>
  </conditionalFormatting>
  <conditionalFormatting sqref="H16">
    <cfRule type="cellIs" dxfId="392" priority="34" operator="greaterThan">
      <formula>$G$16</formula>
    </cfRule>
  </conditionalFormatting>
  <conditionalFormatting sqref="H17">
    <cfRule type="cellIs" dxfId="391" priority="33" operator="greaterThan">
      <formula>$G$17</formula>
    </cfRule>
  </conditionalFormatting>
  <conditionalFormatting sqref="H18">
    <cfRule type="cellIs" dxfId="390" priority="32" operator="greaterThan">
      <formula>$G$18</formula>
    </cfRule>
  </conditionalFormatting>
  <conditionalFormatting sqref="H19">
    <cfRule type="cellIs" dxfId="389" priority="31" operator="greaterThan">
      <formula>$G$19</formula>
    </cfRule>
  </conditionalFormatting>
  <conditionalFormatting sqref="H20">
    <cfRule type="cellIs" dxfId="388" priority="30" operator="greaterThan">
      <formula>$G$20</formula>
    </cfRule>
  </conditionalFormatting>
  <conditionalFormatting sqref="H21">
    <cfRule type="cellIs" dxfId="387" priority="29" operator="greaterThan">
      <formula>$G$21</formula>
    </cfRule>
  </conditionalFormatting>
  <conditionalFormatting sqref="H22">
    <cfRule type="cellIs" dxfId="386" priority="28" operator="greaterThan">
      <formula>$G$22</formula>
    </cfRule>
  </conditionalFormatting>
  <conditionalFormatting sqref="H23">
    <cfRule type="cellIs" dxfId="385" priority="27" operator="greaterThan">
      <formula>$G$23</formula>
    </cfRule>
  </conditionalFormatting>
  <conditionalFormatting sqref="H24">
    <cfRule type="cellIs" dxfId="384" priority="26" operator="greaterThan">
      <formula>$G$24</formula>
    </cfRule>
  </conditionalFormatting>
  <conditionalFormatting sqref="H25">
    <cfRule type="cellIs" dxfId="383" priority="25" operator="greaterThan">
      <formula>$G$25</formula>
    </cfRule>
  </conditionalFormatting>
  <conditionalFormatting sqref="H26">
    <cfRule type="cellIs" dxfId="382" priority="24" operator="greaterThan">
      <formula>$G$26</formula>
    </cfRule>
  </conditionalFormatting>
  <conditionalFormatting sqref="O9">
    <cfRule type="expression" dxfId="381" priority="22">
      <formula>$D$9&gt;$D$2</formula>
    </cfRule>
  </conditionalFormatting>
  <conditionalFormatting sqref="O10">
    <cfRule type="expression" dxfId="380" priority="21">
      <formula>$D$10&gt;$D$2</formula>
    </cfRule>
  </conditionalFormatting>
  <conditionalFormatting sqref="O11">
    <cfRule type="expression" dxfId="379" priority="20">
      <formula>$D$11&gt;$D$2</formula>
    </cfRule>
  </conditionalFormatting>
  <conditionalFormatting sqref="O12">
    <cfRule type="expression" dxfId="378" priority="19">
      <formula>$D$12&gt;$D$2</formula>
    </cfRule>
  </conditionalFormatting>
  <conditionalFormatting sqref="O13">
    <cfRule type="expression" dxfId="377" priority="18">
      <formula>$D$13&gt;$D$2</formula>
    </cfRule>
  </conditionalFormatting>
  <conditionalFormatting sqref="O14">
    <cfRule type="expression" dxfId="376" priority="17">
      <formula>$D$14&gt;$D$2</formula>
    </cfRule>
  </conditionalFormatting>
  <conditionalFormatting sqref="O15">
    <cfRule type="expression" dxfId="375" priority="16">
      <formula>$D$15&gt;$D$2</formula>
    </cfRule>
  </conditionalFormatting>
  <conditionalFormatting sqref="O16">
    <cfRule type="expression" dxfId="374" priority="15">
      <formula>$D$16&gt;$D$2</formula>
    </cfRule>
  </conditionalFormatting>
  <conditionalFormatting sqref="O17">
    <cfRule type="expression" dxfId="373" priority="14">
      <formula>$D$17&gt;$D$2</formula>
    </cfRule>
  </conditionalFormatting>
  <conditionalFormatting sqref="O18">
    <cfRule type="expression" dxfId="372" priority="13">
      <formula>$D$18&gt;$D$2</formula>
    </cfRule>
  </conditionalFormatting>
  <conditionalFormatting sqref="O19">
    <cfRule type="expression" dxfId="371" priority="12">
      <formula>$D$19&gt;$D$2</formula>
    </cfRule>
  </conditionalFormatting>
  <conditionalFormatting sqref="O20">
    <cfRule type="expression" dxfId="370" priority="11">
      <formula>$D$20&gt;$D$2</formula>
    </cfRule>
  </conditionalFormatting>
  <conditionalFormatting sqref="O21">
    <cfRule type="expression" dxfId="369" priority="10">
      <formula>$D$21&gt;$D$2</formula>
    </cfRule>
  </conditionalFormatting>
  <conditionalFormatting sqref="O22">
    <cfRule type="expression" dxfId="368" priority="9">
      <formula>$D$22&gt;$D$2</formula>
    </cfRule>
  </conditionalFormatting>
  <conditionalFormatting sqref="O23">
    <cfRule type="expression" dxfId="367" priority="8">
      <formula>$D$23&gt;$D$2</formula>
    </cfRule>
  </conditionalFormatting>
  <conditionalFormatting sqref="O24">
    <cfRule type="expression" dxfId="366" priority="7">
      <formula>$D$24&gt;$D$2</formula>
    </cfRule>
  </conditionalFormatting>
  <conditionalFormatting sqref="O25">
    <cfRule type="expression" dxfId="365" priority="6">
      <formula>$D$25&gt;$D$2</formula>
    </cfRule>
  </conditionalFormatting>
  <conditionalFormatting sqref="O26">
    <cfRule type="expression" dxfId="364" priority="5">
      <formula>$D$26&gt;$D$2</formula>
    </cfRule>
  </conditionalFormatting>
  <conditionalFormatting sqref="N10:N16 N18:N19 N21 N25:N26">
    <cfRule type="cellIs" dxfId="363" priority="3" operator="lessThan">
      <formula>1</formula>
    </cfRule>
  </conditionalFormatting>
  <conditionalFormatting sqref="O9:O26">
    <cfRule type="expression" dxfId="362" priority="1">
      <formula>$H$2&lt;1</formula>
    </cfRule>
  </conditionalFormatting>
  <dataValidations xWindow="33" yWindow="255" count="37">
    <dataValidation allowBlank="1" showInputMessage="1" showErrorMessage="1" prompt="излечение от слепоты, немоты, болезни, инфекции, кровотечения и увечий" sqref="C9"/>
    <dataValidation allowBlank="1" showInputMessage="1" showErrorMessage="1" prompt="заморозка цели, находящейся неподалеку" sqref="C10"/>
    <dataValidation allowBlank="1" showInputMessage="1" showErrorMessage="1" prompt="низвержение с неба 8 осколков льда, каждый из которых наносит урон от стихии воды; шанс заморозить цель;_x000a_способны создавать ледяные поверхности и замораживать воду или кровь" sqref="C11"/>
    <dataValidation allowBlank="1" showInputMessage="1" showErrorMessage="1" prompt="бросок льдинки, наносящей урон от стихии воды; шанс охладить цель;_x000a_охлажденная цель может замерзнуть, поверхность может замерзнуть или покрыться льдом" sqref="C12"/>
    <dataValidation allowBlank="1" showInputMessage="1" showErrorMessage="1" prompt="создание стены, непреодолимой для врагов; шанс заморозить цель; урон от стихии воды;_x000a_создает ледяную поверхность (после разрушения стены увеличивается)" sqref="C13"/>
    <dataValidation allowBlank="1" showInputMessage="1" showErrorMessage="1" prompt="цель становится невосприимчивой к огню (горению)_x000a_(цель остается уязвимой для стихии огня и может нагреться)" sqref="C14"/>
    <dataValidation allowBlank="1" showInputMessage="1" showErrorMessage="1" prompt="заражение всех противников в зоне действия (уменьшает телосложение и крепость тела); _x000a_не действует на союзников" sqref="C15"/>
    <dataValidation allowBlank="1" showInputMessage="1" showErrorMessage="1" prompt="замедление противников вокруг вас (уменьшает скорость перемещения и количество очков действия);_x000a_не действует на союзников" sqref="C16"/>
    <dataValidation allowBlank="1" showInputMessage="1" showErrorMessage="1" prompt="восстановление здоровья цели в течение 3 ходов" sqref="C17"/>
    <dataValidation allowBlank="1" showInputMessage="1" showErrorMessage="1" prompt="бросок льдинки, которая замораживает цель и наносит урон от стихии воды;_x000a_100% шанс 2-кратно пронзить цель;_x000a_поверхность может замерзнуть или покрыться льдом" sqref="C18"/>
    <dataValidation allowBlank="1" showInputMessage="1" showErrorMessage="1" prompt="создание водяной поверхности" sqref="C19"/>
    <dataValidation allowBlank="1" showInputMessage="1" showErrorMessage="1" prompt="немедленное восстановление здоровья цели" sqref="C20"/>
    <dataValidation allowBlank="1" showInputMessage="1" showErrorMessage="1" prompt="замедление цели (уменьшает скорость перемещения и количество очков действия)" sqref="C21"/>
    <dataValidation allowBlank="1" showInputMessage="1" showErrorMessage="1" prompt="восстановление здоровья цели в течение 2 ходов" sqref="C22"/>
    <dataValidation allowBlank="1" showInputMessage="1" showErrorMessage="1" prompt="вызов элементаля льда (наносит урон от воды; может охладить; навык &quot;пронзающая льдинка&quot;; защита от воды +200%, огня        -50%, дробящего урона -25%; после смерти остается замерзшая поверхность)" sqref="C23"/>
    <dataValidation allowBlank="1" showInputMessage="1" showErrorMessage="1" prompt="наложение водного щита на себя или союзника (невосприимчивость к заморозке)" sqref="C24"/>
    <dataValidation allowBlank="1" showInputMessage="1" showErrorMessage="1" prompt="магическое повышение телосложения" sqref="C25"/>
    <dataValidation allowBlank="1" showInputMessage="1" showErrorMessage="1" prompt="замораживание нескольких целей и нанесение им урона от стихии воды (область конуса); может замораживать воду или кровь" sqref="C26"/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5">
      <formula1>$R$25:$R$26</formula1>
    </dataValidation>
    <dataValidation type="list" allowBlank="1" showInputMessage="1" showErrorMessage="1" sqref="O26">
      <formula1>$S$25:$S$26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2" customWidth="1"/>
    <col min="16" max="16" width="10" style="45" customWidth="1"/>
    <col min="17" max="17" width="8.88671875" style="44" customWidth="1"/>
    <col min="18" max="18" width="8.88671875" style="2" hidden="1" customWidth="1"/>
    <col min="19" max="19" width="9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4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IF((IF(H2=1,3-L4,IF(H2=2,5-L4,IF(H2=3,7-L4,IF(H2=4,9-L4,IF(H2=5,17-L4,""))))))&gt;-1,(IF(H2=1,3-L4,IF(H2=2,5-L4,IF(H2=3,7-L4,IF(H2=4,9-L4,IF(H2=5,17-L4,"")))))),"!!!")</f>
        <v/>
      </c>
      <c r="M2" s="34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52" t="s">
        <v>196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SUM(O9:O25)</f>
        <v>0</v>
      </c>
      <c r="M4" s="34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92" t="s">
        <v>187</v>
      </c>
      <c r="K7" s="392"/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55" t="s">
        <v>28</v>
      </c>
      <c r="H8" s="2" t="s">
        <v>190</v>
      </c>
      <c r="I8" s="392"/>
      <c r="J8" s="55" t="s">
        <v>28</v>
      </c>
      <c r="K8" s="2" t="s">
        <v>190</v>
      </c>
      <c r="L8" s="392"/>
      <c r="M8" s="392"/>
      <c r="N8" s="391"/>
      <c r="O8" s="391"/>
    </row>
    <row r="9" spans="1:20" x14ac:dyDescent="0.3">
      <c r="A9" s="2">
        <v>1</v>
      </c>
      <c r="B9" s="36"/>
      <c r="C9" s="44" t="s">
        <v>252</v>
      </c>
      <c r="D9" s="56">
        <v>4</v>
      </c>
      <c r="E9" s="56">
        <v>6</v>
      </c>
      <c r="F9" s="56">
        <v>2</v>
      </c>
      <c r="G9" s="56">
        <v>6</v>
      </c>
      <c r="H9" s="56">
        <f>IF((H2&lt;F9),G9+(F9-H2)*2,G9)</f>
        <v>10</v>
      </c>
      <c r="I9" s="56">
        <v>9</v>
      </c>
      <c r="J9" s="56">
        <v>7</v>
      </c>
      <c r="K9" s="56">
        <f>MAX((IF(ROUNDDOWN((D4-4)/2,0)&gt;0,J9-ROUNDDOWN((D4-4)/2,0),J9)),1)</f>
        <v>7</v>
      </c>
      <c r="L9" s="56">
        <v>12</v>
      </c>
      <c r="M9" s="56">
        <v>2</v>
      </c>
      <c r="N9" s="61">
        <f>IF(I9&gt;D4,IF((100%+(D4-I9)*10%)&lt;10%,10%,100%+(D4-I9)*10%),100%+(D4-I9)*5%)</f>
        <v>9.9999999999999978E-2</v>
      </c>
      <c r="O9" s="65"/>
      <c r="R9" s="5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2">
        <v>2</v>
      </c>
      <c r="B10" s="36"/>
      <c r="C10" s="67" t="s">
        <v>268</v>
      </c>
      <c r="D10" s="56">
        <v>4</v>
      </c>
      <c r="E10" s="56">
        <v>3</v>
      </c>
      <c r="F10" s="56">
        <v>1</v>
      </c>
      <c r="G10" s="56">
        <v>4</v>
      </c>
      <c r="H10" s="56">
        <f>IF((H2&lt;F10),G10+(F10-H2)*2,G10)</f>
        <v>6</v>
      </c>
      <c r="I10" s="56">
        <v>8</v>
      </c>
      <c r="J10" s="56">
        <v>7</v>
      </c>
      <c r="K10" s="56">
        <f>MAX((IF(ROUNDDOWN((D4-4)/2,0)&gt;0,J10-ROUNDDOWN((D4-4)/2,0),J10)),1)</f>
        <v>7</v>
      </c>
      <c r="L10" s="56">
        <v>15</v>
      </c>
      <c r="M10" s="56">
        <v>3</v>
      </c>
      <c r="N10" s="61">
        <f>IF(I10&gt;D4,IF((100%+(D4-I10)*10%)&lt;10%,10%,100%+(D4-I10)*10%),100%+(D4-I10)*5%)</f>
        <v>0.19999999999999996</v>
      </c>
      <c r="O10" s="65"/>
      <c r="R10" s="62"/>
      <c r="S10" s="54"/>
    </row>
    <row r="11" spans="1:20" x14ac:dyDescent="0.3">
      <c r="A11" s="2">
        <v>3</v>
      </c>
      <c r="B11" s="36"/>
      <c r="C11" s="44" t="s">
        <v>253</v>
      </c>
      <c r="D11" s="56">
        <v>1</v>
      </c>
      <c r="E11" s="56">
        <v>2</v>
      </c>
      <c r="F11" s="56">
        <v>1</v>
      </c>
      <c r="G11" s="56">
        <v>6</v>
      </c>
      <c r="H11" s="56">
        <f>IF((H2&lt;F11),G11+(F11-H2)*2,G11)</f>
        <v>8</v>
      </c>
      <c r="I11" s="56">
        <v>8</v>
      </c>
      <c r="J11" s="56">
        <v>4</v>
      </c>
      <c r="K11" s="56">
        <f>MAX((IF(ROUNDDOWN((D4-4)/2,0)&gt;0,J11-ROUNDDOWN((D4-4)/2,0),J11)),1)</f>
        <v>4</v>
      </c>
      <c r="L11" s="56">
        <v>15</v>
      </c>
      <c r="M11" s="56">
        <v>2</v>
      </c>
      <c r="N11" s="61">
        <f>IF(I11&gt;D4,IF((100%+(D4-I11)*10%)&lt;10%,10%,100%+(D4-I11)*10%),100%+(D4-I11)*5%)</f>
        <v>0.19999999999999996</v>
      </c>
      <c r="O11" s="65"/>
      <c r="R11" s="5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2">
        <v>4</v>
      </c>
      <c r="B12" s="36"/>
      <c r="C12" s="44" t="s">
        <v>254</v>
      </c>
      <c r="D12" s="56">
        <v>16</v>
      </c>
      <c r="E12" s="56">
        <v>16</v>
      </c>
      <c r="F12" s="56">
        <v>4</v>
      </c>
      <c r="G12" s="56">
        <v>9</v>
      </c>
      <c r="H12" s="56">
        <f>IF((H2&lt;F12),G12+(F12-H2)*2,G12)</f>
        <v>17</v>
      </c>
      <c r="I12" s="56">
        <v>12</v>
      </c>
      <c r="J12" s="56">
        <v>12</v>
      </c>
      <c r="K12" s="56">
        <f>MAX((IF(ROUNDDOWN((D4-4)/2,0)&gt;0,J12-ROUNDDOWN((D4-4)/2,0),J12)),1)</f>
        <v>12</v>
      </c>
      <c r="L12" s="56">
        <v>3</v>
      </c>
      <c r="M12" s="56" t="s">
        <v>214</v>
      </c>
      <c r="N12" s="57">
        <f>IF(I12&gt;D4,(D4-I12)*10%,(D4-I12)*5%)</f>
        <v>-1.2000000000000002</v>
      </c>
      <c r="O12" s="65"/>
      <c r="R12" s="62"/>
      <c r="S12" s="54"/>
    </row>
    <row r="13" spans="1:20" x14ac:dyDescent="0.3">
      <c r="A13" s="2">
        <v>5</v>
      </c>
      <c r="B13" s="36"/>
      <c r="C13" s="44" t="s">
        <v>255</v>
      </c>
      <c r="D13" s="56">
        <v>7</v>
      </c>
      <c r="E13" s="56">
        <v>8</v>
      </c>
      <c r="F13" s="56">
        <v>2</v>
      </c>
      <c r="G13" s="56">
        <v>8</v>
      </c>
      <c r="H13" s="56">
        <f>IF((H2&lt;F13),G13+(F13-H2)*2,G13)</f>
        <v>12</v>
      </c>
      <c r="I13" s="56">
        <v>10</v>
      </c>
      <c r="J13" s="56">
        <v>9</v>
      </c>
      <c r="K13" s="56">
        <f>MAX((IF(ROUNDDOWN((D4-4)/2,0)&gt;0,J13-ROUNDDOWN((D4-4)/2,0),J13)),1)</f>
        <v>9</v>
      </c>
      <c r="L13" s="56">
        <v>15</v>
      </c>
      <c r="M13" s="56" t="s">
        <v>214</v>
      </c>
      <c r="N13" s="57">
        <f>IF(I13&gt;D4,(D4-I13)*10%,(D4-I13)*5%)</f>
        <v>-1</v>
      </c>
      <c r="O13" s="65"/>
      <c r="R13" s="5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2">
        <v>6</v>
      </c>
      <c r="B14" s="36"/>
      <c r="C14" s="44" t="s">
        <v>256</v>
      </c>
      <c r="D14" s="56">
        <v>10</v>
      </c>
      <c r="E14" s="56">
        <v>10</v>
      </c>
      <c r="F14" s="56">
        <v>3</v>
      </c>
      <c r="G14" s="56">
        <v>3</v>
      </c>
      <c r="H14" s="56">
        <f>IF((H2&lt;F14),G14+(F14-H2)*2,G14)</f>
        <v>9</v>
      </c>
      <c r="I14" s="56">
        <v>10</v>
      </c>
      <c r="J14" s="56">
        <v>6</v>
      </c>
      <c r="K14" s="56">
        <f>MAX((IF(ROUNDDOWN((D4-4)/2,0)&gt;0,J14-ROUNDDOWN((D4-4)/2,0),J14)),1)</f>
        <v>6</v>
      </c>
      <c r="L14" s="56">
        <v>15</v>
      </c>
      <c r="M14" s="56">
        <v>2</v>
      </c>
      <c r="N14" s="61">
        <f>IF(I14&gt;D4,IF((100%+(D4-I14)*10%)&lt;10%,10%,100%+(D4-I14)*10%),100%+(D4-I14)*5%)</f>
        <v>0.1</v>
      </c>
      <c r="O14" s="65"/>
      <c r="R14" s="62"/>
      <c r="S14" s="54"/>
    </row>
    <row r="15" spans="1:20" x14ac:dyDescent="0.3">
      <c r="A15" s="2">
        <v>7</v>
      </c>
      <c r="B15" s="36"/>
      <c r="C15" s="44" t="s">
        <v>257</v>
      </c>
      <c r="D15" s="56">
        <v>1</v>
      </c>
      <c r="E15" s="56">
        <v>2</v>
      </c>
      <c r="F15" s="56">
        <v>1</v>
      </c>
      <c r="G15" s="56">
        <v>3</v>
      </c>
      <c r="H15" s="56">
        <f>IF((H2&lt;F15),G15+(F15-H2)*2,G15)</f>
        <v>5</v>
      </c>
      <c r="I15" s="56">
        <v>8</v>
      </c>
      <c r="J15" s="56">
        <v>6</v>
      </c>
      <c r="K15" s="56">
        <f>MAX((IF(ROUNDDOWN((D4-4)/2,0)&gt;0,J15-ROUNDDOWN((D4-4)/2,0),J15)),1)</f>
        <v>6</v>
      </c>
      <c r="L15" s="56">
        <v>3</v>
      </c>
      <c r="M15" s="56">
        <v>3</v>
      </c>
      <c r="N15" s="61">
        <f>IF(I15&gt;D4,IF((100%+(D4-I15)*10%)&lt;10%,10%,100%+(D4-I15)*10%),100%+(D4-I15)*5%)</f>
        <v>0.19999999999999996</v>
      </c>
      <c r="O15" s="65"/>
      <c r="R15" s="5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2">
        <v>8</v>
      </c>
      <c r="B16" s="36"/>
      <c r="C16" s="44" t="s">
        <v>258</v>
      </c>
      <c r="D16" s="56">
        <v>13</v>
      </c>
      <c r="E16" s="56">
        <v>13</v>
      </c>
      <c r="F16" s="56">
        <v>4</v>
      </c>
      <c r="G16" s="56">
        <v>6</v>
      </c>
      <c r="H16" s="56">
        <f>IF((H2&lt;F16),G16+(F16-H2)*2,G16)</f>
        <v>14</v>
      </c>
      <c r="I16" s="56">
        <v>11</v>
      </c>
      <c r="J16" s="56">
        <v>9</v>
      </c>
      <c r="K16" s="56">
        <f>MAX((IF(ROUNDDOWN((D4-4)/2,0)&gt;0,J16-ROUNDDOWN((D4-4)/2,0),J16)),1)</f>
        <v>9</v>
      </c>
      <c r="L16" s="56">
        <v>8</v>
      </c>
      <c r="M16" s="56">
        <v>2</v>
      </c>
      <c r="N16" s="61">
        <f>IF(I16&gt;D4,IF((50%+(D4-I16)*10%)&lt;10%,10%,50%+(D4-I16)*10%),50%+(D4-I16)*5%)</f>
        <v>0.1</v>
      </c>
      <c r="O16" s="65"/>
      <c r="R16" s="62"/>
      <c r="S16" s="54"/>
    </row>
    <row r="17" spans="1:19" x14ac:dyDescent="0.3">
      <c r="A17" s="2">
        <v>9</v>
      </c>
      <c r="B17" s="36"/>
      <c r="C17" s="44" t="s">
        <v>259</v>
      </c>
      <c r="D17" s="56">
        <v>18</v>
      </c>
      <c r="E17" s="56">
        <v>18</v>
      </c>
      <c r="F17" s="56">
        <v>5</v>
      </c>
      <c r="G17" s="56">
        <v>9</v>
      </c>
      <c r="H17" s="56">
        <f>IF((H2&lt;F17),G17+(F17-H2)*2,G17)</f>
        <v>19</v>
      </c>
      <c r="I17" s="56">
        <v>13</v>
      </c>
      <c r="J17" s="56">
        <v>100</v>
      </c>
      <c r="K17" s="56">
        <f>MAX((IF(ROUNDDOWN((D4-4)/2,0)&gt;0,J17-ROUNDDOWN((D4-4)/2,0),J17)),1)</f>
        <v>100</v>
      </c>
      <c r="L17" s="56" t="s">
        <v>194</v>
      </c>
      <c r="M17" s="56">
        <v>2</v>
      </c>
      <c r="N17" s="61">
        <f>IF(I17&gt;D4,IF((100%+(D4-I17)*10%)&lt;10%,10%,100%+(D4-I17)*10%),100%+(D4-I17)*5%)</f>
        <v>0.1</v>
      </c>
      <c r="O17" s="65"/>
      <c r="R17" s="5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2">
        <v>10</v>
      </c>
      <c r="B18" s="36"/>
      <c r="C18" s="44" t="s">
        <v>260</v>
      </c>
      <c r="D18" s="56">
        <v>1</v>
      </c>
      <c r="E18" s="56">
        <v>3</v>
      </c>
      <c r="F18" s="56">
        <v>1</v>
      </c>
      <c r="G18" s="56">
        <v>4</v>
      </c>
      <c r="H18" s="56">
        <f>IF((H2&lt;F18),G18+(F18-H2)*2,G18)</f>
        <v>6</v>
      </c>
      <c r="I18" s="56">
        <v>8</v>
      </c>
      <c r="J18" s="56">
        <v>7</v>
      </c>
      <c r="K18" s="56">
        <f>MAX((IF(ROUNDDOWN((D4-4)/2,0)&gt;0,J18-ROUNDDOWN((D4-4)/2,0),J18)),1)</f>
        <v>7</v>
      </c>
      <c r="L18" s="56">
        <v>15</v>
      </c>
      <c r="M18" s="56">
        <v>3</v>
      </c>
      <c r="N18" s="61">
        <f>IF(I18&gt;D4,IF((100%+(D4-I18)*10%)&lt;10%,10%,100%+(D4-I18)*10%),100%+(D4-I18)*5%)</f>
        <v>0.19999999999999996</v>
      </c>
      <c r="O18" s="65"/>
      <c r="R18" s="62"/>
      <c r="S18" s="54"/>
    </row>
    <row r="19" spans="1:19" x14ac:dyDescent="0.3">
      <c r="A19" s="2">
        <v>11</v>
      </c>
      <c r="B19" s="36"/>
      <c r="C19" s="44" t="s">
        <v>261</v>
      </c>
      <c r="D19" s="56">
        <v>10</v>
      </c>
      <c r="E19" s="56">
        <v>12</v>
      </c>
      <c r="F19" s="56">
        <v>3</v>
      </c>
      <c r="G19" s="56">
        <v>6</v>
      </c>
      <c r="H19" s="56">
        <f>IF((H2&lt;F19),G19+(F19-H2)*2,G19)</f>
        <v>12</v>
      </c>
      <c r="I19" s="56">
        <v>11</v>
      </c>
      <c r="J19" s="56">
        <v>8</v>
      </c>
      <c r="K19" s="56">
        <f>MAX((IF(ROUNDDOWN((D4-4)/2,0)&gt;0,J19-ROUNDDOWN((D4-4)/2,0),J19)),1)</f>
        <v>8</v>
      </c>
      <c r="L19" s="56" t="s">
        <v>249</v>
      </c>
      <c r="M19" s="56">
        <v>3</v>
      </c>
      <c r="N19" s="61">
        <f>IF(I19&gt;D4,IF((100%+(D4-I19)*10%)&lt;10%,10%,100%+(D4-I19)*10%),100%+(D4-I19)*5%)</f>
        <v>0.1</v>
      </c>
      <c r="O19" s="65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2">
        <v>12</v>
      </c>
      <c r="B20" s="36"/>
      <c r="C20" s="44" t="s">
        <v>262</v>
      </c>
      <c r="D20" s="56">
        <v>1</v>
      </c>
      <c r="E20" s="56">
        <v>2</v>
      </c>
      <c r="F20" s="56">
        <v>1</v>
      </c>
      <c r="G20" s="56">
        <v>3</v>
      </c>
      <c r="H20" s="56">
        <f>IF((H2&lt;F20),G20+(F20-H2)*2,G20)</f>
        <v>5</v>
      </c>
      <c r="I20" s="56">
        <v>8</v>
      </c>
      <c r="J20" s="56">
        <v>10</v>
      </c>
      <c r="K20" s="56">
        <f>MAX((IF(ROUNDDOWN((D4-4)/2,0)&gt;0,J20-ROUNDDOWN((D4-4)/2,0),J20)),1)</f>
        <v>10</v>
      </c>
      <c r="L20" s="56">
        <v>15</v>
      </c>
      <c r="M20" s="56">
        <v>3</v>
      </c>
      <c r="N20" s="61">
        <f>IF(I20&gt;D4,IF((100%+(D4-I20)*10%)&lt;10%,10%,100%+(D4-I20)*10%),100%+(D4-I20)*5%)</f>
        <v>0.19999999999999996</v>
      </c>
      <c r="O20" s="65"/>
      <c r="R20" s="63"/>
      <c r="S20" s="63"/>
    </row>
    <row r="21" spans="1:19" x14ac:dyDescent="0.3">
      <c r="A21" s="2">
        <v>13</v>
      </c>
      <c r="B21" s="36"/>
      <c r="C21" s="44" t="s">
        <v>263</v>
      </c>
      <c r="D21" s="56">
        <v>16</v>
      </c>
      <c r="E21" s="56">
        <v>16</v>
      </c>
      <c r="F21" s="56">
        <v>4</v>
      </c>
      <c r="G21" s="56">
        <v>10</v>
      </c>
      <c r="H21" s="56">
        <f>IF((H2&lt;F21),G21+(F21-H2)*2,G21)</f>
        <v>18</v>
      </c>
      <c r="I21" s="56">
        <v>12</v>
      </c>
      <c r="J21" s="56">
        <v>30</v>
      </c>
      <c r="K21" s="56">
        <f>MAX((IF(ROUNDDOWN((D4-4)/2,0)&gt;0,J21-ROUNDDOWN((D4-4)/2,0),J21)),1)</f>
        <v>30</v>
      </c>
      <c r="L21" s="56">
        <v>15</v>
      </c>
      <c r="M21" s="56" t="s">
        <v>214</v>
      </c>
      <c r="N21" s="57">
        <f>IF(I21&gt;D4,(D4-I21)*10%,(D4-I21)*5%)</f>
        <v>-1.2000000000000002</v>
      </c>
      <c r="O21" s="65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2">
        <v>14</v>
      </c>
      <c r="B22" s="36"/>
      <c r="C22" s="44" t="s">
        <v>264</v>
      </c>
      <c r="D22" s="56">
        <v>16</v>
      </c>
      <c r="E22" s="56">
        <v>14</v>
      </c>
      <c r="F22" s="56">
        <v>4</v>
      </c>
      <c r="G22" s="56">
        <v>8</v>
      </c>
      <c r="H22" s="56">
        <f>IF((H2&lt;F22),G22+(F22-H2)*2,G22)</f>
        <v>16</v>
      </c>
      <c r="I22" s="56">
        <v>12</v>
      </c>
      <c r="J22" s="56">
        <v>12</v>
      </c>
      <c r="K22" s="56">
        <f>MAX((IF(ROUNDDOWN((D4-4)/2,0)&gt;0,J22-ROUNDDOWN((D4-4)/2,0),J22)),1)</f>
        <v>12</v>
      </c>
      <c r="L22" s="56">
        <v>16</v>
      </c>
      <c r="M22" s="56">
        <v>1</v>
      </c>
      <c r="N22" s="61">
        <f>IF(I22&gt;D4,IF((100%+(D4-I22)*10%)&lt;10%,10%,100%+(D4-I22)*10%),100%+(D4-I22)*5%)</f>
        <v>0.1</v>
      </c>
      <c r="O22" s="65"/>
      <c r="R22" s="63"/>
      <c r="S22" s="63"/>
    </row>
    <row r="23" spans="1:19" x14ac:dyDescent="0.3">
      <c r="A23" s="2">
        <v>15</v>
      </c>
      <c r="B23" s="36"/>
      <c r="C23" s="44" t="s">
        <v>265</v>
      </c>
      <c r="D23" s="56">
        <v>10</v>
      </c>
      <c r="E23" s="56">
        <v>11</v>
      </c>
      <c r="F23" s="56">
        <v>3</v>
      </c>
      <c r="G23" s="56">
        <v>8</v>
      </c>
      <c r="H23" s="56">
        <f>IF((H2&lt;F23),G23+(F23-H2)*2,G23)</f>
        <v>14</v>
      </c>
      <c r="I23" s="56">
        <v>11</v>
      </c>
      <c r="J23" s="56">
        <v>7</v>
      </c>
      <c r="K23" s="56">
        <f>MAX((IF(ROUNDDOWN((D4-4)/2,0)&gt;0,J23-ROUNDDOWN((D4-4)/2,0),J23)),1)</f>
        <v>7</v>
      </c>
      <c r="L23" s="56">
        <v>12</v>
      </c>
      <c r="M23" s="56">
        <v>5</v>
      </c>
      <c r="N23" s="57">
        <f>IF(I23&gt;D4,(D4-I23)*10%,(D4-I23)*5%)</f>
        <v>-1.1000000000000001</v>
      </c>
      <c r="O23" s="65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2">
        <v>16</v>
      </c>
      <c r="B24" s="36"/>
      <c r="C24" s="44" t="s">
        <v>266</v>
      </c>
      <c r="D24" s="56">
        <v>7</v>
      </c>
      <c r="E24" s="56">
        <v>7</v>
      </c>
      <c r="F24" s="56">
        <v>2</v>
      </c>
      <c r="G24" s="56">
        <v>7</v>
      </c>
      <c r="H24" s="56">
        <f>IF((H2&lt;F24),G24+(F24-H2)*2,G24)</f>
        <v>11</v>
      </c>
      <c r="I24" s="56">
        <v>9</v>
      </c>
      <c r="J24" s="56">
        <v>5</v>
      </c>
      <c r="K24" s="56">
        <f>MAX((IF(ROUNDDOWN((D4-4)/2,0)&gt;0,J24-ROUNDDOWN((D4-4)/2,0),J24)),1)</f>
        <v>5</v>
      </c>
      <c r="L24" s="56">
        <v>10</v>
      </c>
      <c r="M24" s="56">
        <v>4</v>
      </c>
      <c r="N24" s="57">
        <f>IF(I24&gt;D4,(D4-I24)*10%,(D4-I24)*5%)</f>
        <v>-0.9</v>
      </c>
      <c r="O24" s="65"/>
      <c r="R24" s="63"/>
      <c r="S24" s="63"/>
    </row>
    <row r="25" spans="1:19" x14ac:dyDescent="0.3">
      <c r="A25" s="2">
        <v>17</v>
      </c>
      <c r="B25" s="36"/>
      <c r="C25" s="44" t="s">
        <v>267</v>
      </c>
      <c r="D25" s="56">
        <v>7</v>
      </c>
      <c r="E25" s="56">
        <v>9</v>
      </c>
      <c r="F25" s="56">
        <v>3</v>
      </c>
      <c r="G25" s="56">
        <v>4</v>
      </c>
      <c r="H25" s="56">
        <f>IF((H2&lt;F25),G25+(F25-H2)*2,G25)</f>
        <v>10</v>
      </c>
      <c r="I25" s="56">
        <v>10</v>
      </c>
      <c r="J25" s="56">
        <v>9</v>
      </c>
      <c r="K25" s="56">
        <f>MAX((IF(ROUNDDOWN((D4-4)/2,0)&gt;0,J25-ROUNDDOWN((D4-4)/2,0),J25)),1)</f>
        <v>9</v>
      </c>
      <c r="L25" s="56">
        <v>3</v>
      </c>
      <c r="M25" s="56" t="s">
        <v>214</v>
      </c>
      <c r="N25" s="61">
        <f>IF(I25&gt;D4,IF((100%+(D4-I25)*10%)&lt;10%,10%,100%+(D4-I25)*10%),100%+(D4-I25)*5%)</f>
        <v>0.1</v>
      </c>
      <c r="O25" s="65"/>
      <c r="R25" s="49" t="str">
        <f>IF(AND(D25&lt;=D2,H2&gt;0),1,"нельзя")</f>
        <v>нельзя</v>
      </c>
      <c r="S25" s="59"/>
    </row>
    <row r="26" spans="1:19" x14ac:dyDescent="0.3">
      <c r="R26" s="63"/>
      <c r="S26" s="69"/>
    </row>
    <row r="27" spans="1:19" x14ac:dyDescent="0.3">
      <c r="R27" s="44"/>
    </row>
    <row r="28" spans="1:19" x14ac:dyDescent="0.3">
      <c r="R28" s="44"/>
    </row>
    <row r="29" spans="1:19" x14ac:dyDescent="0.3">
      <c r="R29" s="34"/>
    </row>
  </sheetData>
  <sheetProtection sheet="1" objects="1" scenarios="1"/>
  <mergeCells count="17"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  <mergeCell ref="O7:O8"/>
    <mergeCell ref="G7:H7"/>
    <mergeCell ref="I7:I8"/>
    <mergeCell ref="J7:K7"/>
    <mergeCell ref="L7:L8"/>
    <mergeCell ref="M7:M8"/>
    <mergeCell ref="N7:N8"/>
  </mergeCells>
  <conditionalFormatting sqref="L2:M2">
    <cfRule type="containsText" dxfId="361" priority="70" operator="containsText" text="!!!">
      <formula>NOT(ISERROR(SEARCH("!!!",L2)))</formula>
    </cfRule>
  </conditionalFormatting>
  <conditionalFormatting sqref="I9:I25">
    <cfRule type="cellIs" dxfId="360" priority="69" operator="greaterThan">
      <formula>$D$4</formula>
    </cfRule>
  </conditionalFormatting>
  <conditionalFormatting sqref="F9:F25">
    <cfRule type="cellIs" dxfId="359" priority="68" operator="greaterThan">
      <formula>$H$2</formula>
    </cfRule>
  </conditionalFormatting>
  <conditionalFormatting sqref="C9">
    <cfRule type="expression" dxfId="358" priority="67">
      <formula>$D$9&gt;$D$2</formula>
    </cfRule>
  </conditionalFormatting>
  <conditionalFormatting sqref="C10">
    <cfRule type="expression" dxfId="357" priority="66">
      <formula>$D$10&gt;$D$2</formula>
    </cfRule>
  </conditionalFormatting>
  <conditionalFormatting sqref="C11">
    <cfRule type="expression" dxfId="356" priority="65">
      <formula>$D$11&gt;$D$2</formula>
    </cfRule>
  </conditionalFormatting>
  <conditionalFormatting sqref="C12">
    <cfRule type="expression" dxfId="355" priority="64">
      <formula>$D$12&gt;$D$2</formula>
    </cfRule>
  </conditionalFormatting>
  <conditionalFormatting sqref="C13">
    <cfRule type="expression" dxfId="354" priority="63">
      <formula>$D$13&gt;$D$2</formula>
    </cfRule>
  </conditionalFormatting>
  <conditionalFormatting sqref="C14">
    <cfRule type="expression" dxfId="353" priority="62">
      <formula>$D$14&gt;$D$2</formula>
    </cfRule>
  </conditionalFormatting>
  <conditionalFormatting sqref="C15">
    <cfRule type="expression" dxfId="352" priority="61">
      <formula>$D$15&gt;$D$2</formula>
    </cfRule>
  </conditionalFormatting>
  <conditionalFormatting sqref="C16">
    <cfRule type="expression" dxfId="351" priority="60">
      <formula>$D$16&gt;$D$2</formula>
    </cfRule>
  </conditionalFormatting>
  <conditionalFormatting sqref="C17">
    <cfRule type="expression" dxfId="350" priority="59">
      <formula>$D$17&gt;$D$2</formula>
    </cfRule>
  </conditionalFormatting>
  <conditionalFormatting sqref="C18">
    <cfRule type="expression" dxfId="349" priority="58">
      <formula>$D$18&gt;$D$2</formula>
    </cfRule>
  </conditionalFormatting>
  <conditionalFormatting sqref="C19">
    <cfRule type="expression" dxfId="348" priority="57">
      <formula>$D$19&gt;$D$2</formula>
    </cfRule>
  </conditionalFormatting>
  <conditionalFormatting sqref="C20">
    <cfRule type="expression" dxfId="347" priority="56">
      <formula>$D$20&gt;$D$2</formula>
    </cfRule>
  </conditionalFormatting>
  <conditionalFormatting sqref="C21">
    <cfRule type="expression" dxfId="346" priority="55">
      <formula>$D$21&gt;$D$2</formula>
    </cfRule>
  </conditionalFormatting>
  <conditionalFormatting sqref="C22">
    <cfRule type="expression" dxfId="345" priority="54">
      <formula>$D$22&gt;$D$2</formula>
    </cfRule>
  </conditionalFormatting>
  <conditionalFormatting sqref="C23">
    <cfRule type="expression" dxfId="344" priority="53">
      <formula>$D$23&gt;$D$2</formula>
    </cfRule>
  </conditionalFormatting>
  <conditionalFormatting sqref="C24">
    <cfRule type="expression" dxfId="343" priority="52">
      <formula>$D$24&gt;$D$2</formula>
    </cfRule>
  </conditionalFormatting>
  <conditionalFormatting sqref="C25">
    <cfRule type="expression" dxfId="342" priority="51">
      <formula>$D$25&gt;$D$2</formula>
    </cfRule>
  </conditionalFormatting>
  <conditionalFormatting sqref="D9:D25">
    <cfRule type="cellIs" dxfId="341" priority="48" operator="greaterThan">
      <formula>$D$2</formula>
    </cfRule>
  </conditionalFormatting>
  <conditionalFormatting sqref="H9">
    <cfRule type="cellIs" dxfId="340" priority="47" operator="greaterThan">
      <formula>$G$9</formula>
    </cfRule>
  </conditionalFormatting>
  <conditionalFormatting sqref="H10">
    <cfRule type="cellIs" dxfId="339" priority="46" operator="greaterThan">
      <formula>$G$10</formula>
    </cfRule>
  </conditionalFormatting>
  <conditionalFormatting sqref="H11">
    <cfRule type="cellIs" dxfId="338" priority="45" operator="greaterThan">
      <formula>$G$11</formula>
    </cfRule>
  </conditionalFormatting>
  <conditionalFormatting sqref="H12">
    <cfRule type="cellIs" dxfId="337" priority="44" operator="greaterThan">
      <formula>$G$12</formula>
    </cfRule>
  </conditionalFormatting>
  <conditionalFormatting sqref="H13">
    <cfRule type="cellIs" dxfId="336" priority="43" operator="greaterThan">
      <formula>$G$13</formula>
    </cfRule>
  </conditionalFormatting>
  <conditionalFormatting sqref="H14">
    <cfRule type="cellIs" dxfId="335" priority="42" operator="greaterThan">
      <formula>$G$14</formula>
    </cfRule>
  </conditionalFormatting>
  <conditionalFormatting sqref="H15">
    <cfRule type="cellIs" dxfId="334" priority="41" operator="greaterThan">
      <formula>$G$15</formula>
    </cfRule>
  </conditionalFormatting>
  <conditionalFormatting sqref="H16">
    <cfRule type="cellIs" dxfId="333" priority="40" operator="greaterThan">
      <formula>$G$16</formula>
    </cfRule>
  </conditionalFormatting>
  <conditionalFormatting sqref="H17">
    <cfRule type="cellIs" dxfId="332" priority="39" operator="greaterThan">
      <formula>$G$17</formula>
    </cfRule>
  </conditionalFormatting>
  <conditionalFormatting sqref="H18">
    <cfRule type="cellIs" dxfId="331" priority="38" operator="greaterThan">
      <formula>$G$18</formula>
    </cfRule>
  </conditionalFormatting>
  <conditionalFormatting sqref="H19">
    <cfRule type="cellIs" dxfId="330" priority="37" operator="greaterThan">
      <formula>$G$19</formula>
    </cfRule>
  </conditionalFormatting>
  <conditionalFormatting sqref="H20">
    <cfRule type="cellIs" dxfId="329" priority="36" operator="greaterThan">
      <formula>$G$20</formula>
    </cfRule>
  </conditionalFormatting>
  <conditionalFormatting sqref="H21">
    <cfRule type="cellIs" dxfId="328" priority="35" operator="greaterThan">
      <formula>$G$21</formula>
    </cfRule>
  </conditionalFormatting>
  <conditionalFormatting sqref="H22">
    <cfRule type="cellIs" dxfId="327" priority="34" operator="greaterThan">
      <formula>$G$22</formula>
    </cfRule>
  </conditionalFormatting>
  <conditionalFormatting sqref="H23">
    <cfRule type="cellIs" dxfId="326" priority="33" operator="greaterThan">
      <formula>$G$23</formula>
    </cfRule>
  </conditionalFormatting>
  <conditionalFormatting sqref="H24">
    <cfRule type="cellIs" dxfId="325" priority="32" operator="greaterThan">
      <formula>$G$24</formula>
    </cfRule>
  </conditionalFormatting>
  <conditionalFormatting sqref="H25">
    <cfRule type="cellIs" dxfId="324" priority="31" operator="greaterThan">
      <formula>$G$25</formula>
    </cfRule>
  </conditionalFormatting>
  <conditionalFormatting sqref="O9">
    <cfRule type="expression" dxfId="323" priority="28">
      <formula>$D$9&gt;$D$2</formula>
    </cfRule>
  </conditionalFormatting>
  <conditionalFormatting sqref="O10">
    <cfRule type="expression" dxfId="322" priority="27">
      <formula>$D$10&gt;$D$2</formula>
    </cfRule>
  </conditionalFormatting>
  <conditionalFormatting sqref="O11">
    <cfRule type="expression" dxfId="321" priority="26">
      <formula>$D$11&gt;$D$2</formula>
    </cfRule>
  </conditionalFormatting>
  <conditionalFormatting sqref="O12">
    <cfRule type="expression" dxfId="320" priority="25">
      <formula>$D$12&gt;$D$2</formula>
    </cfRule>
  </conditionalFormatting>
  <conditionalFormatting sqref="O13">
    <cfRule type="expression" dxfId="319" priority="24">
      <formula>$D$13&gt;$D$2</formula>
    </cfRule>
  </conditionalFormatting>
  <conditionalFormatting sqref="O14">
    <cfRule type="expression" dxfId="318" priority="23">
      <formula>$D$14&gt;$D$2</formula>
    </cfRule>
  </conditionalFormatting>
  <conditionalFormatting sqref="O15">
    <cfRule type="expression" dxfId="317" priority="22">
      <formula>$D$15&gt;$D$2</formula>
    </cfRule>
  </conditionalFormatting>
  <conditionalFormatting sqref="O16">
    <cfRule type="expression" dxfId="316" priority="21">
      <formula>$D$16&gt;$D$2</formula>
    </cfRule>
  </conditionalFormatting>
  <conditionalFormatting sqref="O17">
    <cfRule type="expression" dxfId="315" priority="20">
      <formula>$D$17&gt;$D$2</formula>
    </cfRule>
  </conditionalFormatting>
  <conditionalFormatting sqref="O18">
    <cfRule type="expression" dxfId="314" priority="19">
      <formula>$D$18&gt;$D$2</formula>
    </cfRule>
  </conditionalFormatting>
  <conditionalFormatting sqref="O19">
    <cfRule type="expression" dxfId="313" priority="18">
      <formula>$D$19&gt;$D$2</formula>
    </cfRule>
  </conditionalFormatting>
  <conditionalFormatting sqref="O20">
    <cfRule type="expression" dxfId="312" priority="17">
      <formula>$D$20&gt;$D$2</formula>
    </cfRule>
  </conditionalFormatting>
  <conditionalFormatting sqref="O21">
    <cfRule type="expression" dxfId="311" priority="16">
      <formula>$D$21&gt;$D$2</formula>
    </cfRule>
  </conditionalFormatting>
  <conditionalFormatting sqref="O22">
    <cfRule type="expression" dxfId="310" priority="15">
      <formula>$D$22&gt;$D$2</formula>
    </cfRule>
  </conditionalFormatting>
  <conditionalFormatting sqref="O23">
    <cfRule type="expression" dxfId="309" priority="14">
      <formula>$D$23&gt;$D$2</formula>
    </cfRule>
  </conditionalFormatting>
  <conditionalFormatting sqref="O24">
    <cfRule type="expression" dxfId="308" priority="13">
      <formula>$D$24&gt;$D$2</formula>
    </cfRule>
  </conditionalFormatting>
  <conditionalFormatting sqref="O25">
    <cfRule type="expression" dxfId="307" priority="12">
      <formula>$D$25&gt;$D$2</formula>
    </cfRule>
  </conditionalFormatting>
  <conditionalFormatting sqref="N9:N11 N14:N20 N22 N25">
    <cfRule type="cellIs" dxfId="306" priority="9" operator="lessThan">
      <formula>1</formula>
    </cfRule>
  </conditionalFormatting>
  <conditionalFormatting sqref="O9:O25">
    <cfRule type="expression" dxfId="305" priority="1">
      <formula>$H$2&lt;1</formula>
    </cfRule>
  </conditionalFormatting>
  <dataValidations xWindow="262" yWindow="694" count="35">
    <dataValidation allowBlank="1" showInputMessage="1" showErrorMessage="1" prompt="повышение сопротивления стихиям" sqref="C9"/>
    <dataValidation allowBlank="1" showInputMessage="1" showErrorMessage="1" prompt="ослепление цели" sqref="C10"/>
    <dataValidation allowBlank="1" showInputMessage="1" showErrorMessage="1" prompt="вызов кровотечения цели; наносит рубящий удар" sqref="C11"/>
    <dataValidation allowBlank="1" showInputMessage="1" showErrorMessage="1" prompt="нанесение дробящего урона цели, находящейся рядом с вами" sqref="C12"/>
    <dataValidation allowBlank="1" showInputMessage="1" showErrorMessage="1" prompt="нанесение колоссального урона вызванному существу" sqref="C13"/>
    <dataValidation allowBlank="1" showInputMessage="1" showErrorMessage="1" prompt="уменьшение силы воли цели" sqref="C14"/>
    <dataValidation allowBlank="1" showInputMessage="1" showErrorMessage="1" prompt="ослабление противника (уменьшение урона и силы)" sqref="C15"/>
    <dataValidation allowBlank="1" showInputMessage="1" showErrorMessage="1" prompt="враги вокруг вас разбегаются в страхе (не действует на союзников)" sqref="C16"/>
    <dataValidation allowBlank="1" showInputMessage="1" showErrorMessage="1" prompt="ваш персонаж становится неуязвимым (также снимает и запрещает накладывать любые эффекты, бафы и дебафы)" sqref="C17"/>
    <dataValidation allowBlank="1" showInputMessage="1" showErrorMessage="1" prompt="наложение проклятия на противника (уменьшает шанс ударить)" sqref="C18"/>
    <dataValidation allowBlank="1" showInputMessage="1" showErrorMessage="1" prompt="ослабление всех противников в зоне действия (уменьшение урона и силы); не действует на союзников" sqref="C19"/>
    <dataValidation allowBlank="1" showInputMessage="1" showErrorMessage="1" prompt="усиление урона, наносимого союзником" sqref="C20"/>
    <dataValidation allowBlank="1" showInputMessage="1" showErrorMessage="1" prompt="воскрешение павшего союзника с 20% здоровья" sqref="C21"/>
    <dataValidation allowBlank="1" showInputMessage="1" showErrorMessage="1" prompt="снижение всех характеристик и способностей цели" sqref="C22"/>
    <dataValidation allowBlank="1" showInputMessage="1" showErrorMessage="1" prompt="вызов грозного скелета (шанс сбить с ног, атака по возможности, невосприимчив к кровотечению, яду, защита от колющего урона +50%, дробящего урона -25%, умерен. защита от физических и ментальных эффектов)" sqref="C23"/>
    <dataValidation allowBlank="1" showInputMessage="1" showErrorMessage="1" prompt="призыв скелета (невосприимчив к кровотечению, яду, защита от колющего урона +25%, дробящего урона -25%, хорошая защита от физических и ментальных эффектов)" sqref="C24"/>
    <dataValidation allowBlank="1" showInputMessage="1" showErrorMessage="1" prompt="урон другим, лечение себя" sqref="C25"/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5">
      <formula1>$R$25:$R$26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2" customWidth="1"/>
    <col min="16" max="16" width="10" style="45" customWidth="1"/>
    <col min="17" max="17" width="8.88671875" style="44" customWidth="1"/>
    <col min="18" max="18" width="8.88671875" style="2" hidden="1" customWidth="1"/>
    <col min="19" max="19" width="8.8867187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4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IF((IF(H2=1,3-L4,IF(H2=2,5-L4,IF(H2=3,7-L4,IF(H2=4,9-L4,IF(H2=5,20-L4,""))))))&gt;-1,(IF(H2=1,3-L4,IF(H2=2,5-L4,IF(H2=3,7-L4,IF(H2=4,9-L4,IF(H2=5,20-L4,"")))))),"!!!")</f>
        <v/>
      </c>
      <c r="M2" s="34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52" t="s">
        <v>293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SUM(O9:O28)</f>
        <v>0</v>
      </c>
      <c r="M4" s="34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74" t="s">
        <v>187</v>
      </c>
      <c r="K7" s="397" t="s">
        <v>318</v>
      </c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55" t="s">
        <v>28</v>
      </c>
      <c r="H8" s="2" t="s">
        <v>190</v>
      </c>
      <c r="I8" s="392"/>
      <c r="J8" s="374"/>
      <c r="K8" s="374"/>
      <c r="L8" s="392"/>
      <c r="M8" s="392"/>
      <c r="N8" s="391"/>
      <c r="O8" s="391"/>
    </row>
    <row r="9" spans="1:20" x14ac:dyDescent="0.3">
      <c r="A9" s="2">
        <v>1</v>
      </c>
      <c r="B9" s="36"/>
      <c r="C9" s="44" t="s">
        <v>305</v>
      </c>
      <c r="D9" s="56">
        <v>1</v>
      </c>
      <c r="E9" s="56">
        <v>2</v>
      </c>
      <c r="F9" s="56">
        <v>1</v>
      </c>
      <c r="G9" s="56">
        <v>6</v>
      </c>
      <c r="H9" s="56">
        <f>IF((H2&lt;F9),G9+(F9-H2)*2,G9)</f>
        <v>8</v>
      </c>
      <c r="I9" s="56">
        <v>8</v>
      </c>
      <c r="J9" s="56">
        <v>8</v>
      </c>
      <c r="K9" s="56" t="s">
        <v>316</v>
      </c>
      <c r="L9" s="56">
        <v>15</v>
      </c>
      <c r="M9" s="56">
        <v>1</v>
      </c>
      <c r="N9" s="64">
        <f>IF(I9&gt;D4,IF((50%+(D4-I9)*10%)&lt;10%,10%,50%+(D4-I9)*10%),50%+(D4-I9)*5%)</f>
        <v>0.1</v>
      </c>
      <c r="O9" s="65"/>
      <c r="R9" s="5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2">
        <v>2</v>
      </c>
      <c r="B10" s="36"/>
      <c r="C10" s="67" t="s">
        <v>294</v>
      </c>
      <c r="D10" s="56">
        <v>10</v>
      </c>
      <c r="E10" s="56">
        <v>10</v>
      </c>
      <c r="F10" s="56">
        <v>3</v>
      </c>
      <c r="G10" s="56">
        <v>5</v>
      </c>
      <c r="H10" s="56">
        <f>IF((H2&lt;F10),G10+(F10-H2)*2,G10)</f>
        <v>11</v>
      </c>
      <c r="I10" s="56">
        <v>10</v>
      </c>
      <c r="J10" s="56">
        <v>8</v>
      </c>
      <c r="K10" s="56" t="s">
        <v>316</v>
      </c>
      <c r="L10" s="56">
        <v>2.4</v>
      </c>
      <c r="M10" s="56">
        <v>3</v>
      </c>
      <c r="N10" s="64">
        <f>IF(I10&gt;D4,IF((100%+(D4-I10)*10%)&lt;10%,10%,100%+(D4-I10)*10%),100%+(D4-I10)*5%)</f>
        <v>0.1</v>
      </c>
      <c r="O10" s="65"/>
      <c r="R10" s="62"/>
      <c r="S10" s="54"/>
    </row>
    <row r="11" spans="1:20" x14ac:dyDescent="0.3">
      <c r="A11" s="2">
        <v>3</v>
      </c>
      <c r="B11" s="36"/>
      <c r="C11" s="44" t="s">
        <v>295</v>
      </c>
      <c r="D11" s="56">
        <v>1</v>
      </c>
      <c r="E11" s="56">
        <v>2</v>
      </c>
      <c r="F11" s="56">
        <v>1</v>
      </c>
      <c r="G11" s="56">
        <v>5</v>
      </c>
      <c r="H11" s="56">
        <f>IF((H2&lt;F11),G11+(F11-H2)*2,G11)</f>
        <v>7</v>
      </c>
      <c r="I11" s="56">
        <v>8</v>
      </c>
      <c r="J11" s="56">
        <v>6</v>
      </c>
      <c r="K11" s="56" t="s">
        <v>214</v>
      </c>
      <c r="L11" s="56">
        <v>15</v>
      </c>
      <c r="M11" s="56">
        <v>3</v>
      </c>
      <c r="N11" s="64">
        <f>IF(I11&gt;D4,IF((100%+(D4-I11)*10%)&lt;10%,10%,100%+(D4-I11)*10%),100%+(D4-I11)*5%)</f>
        <v>0.19999999999999996</v>
      </c>
      <c r="O11" s="65"/>
      <c r="R11" s="5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2">
        <v>4</v>
      </c>
      <c r="B12" s="36"/>
      <c r="C12" s="44" t="s">
        <v>296</v>
      </c>
      <c r="D12" s="56">
        <v>1</v>
      </c>
      <c r="E12" s="56">
        <v>1</v>
      </c>
      <c r="F12" s="56">
        <v>1</v>
      </c>
      <c r="G12" s="56">
        <v>6</v>
      </c>
      <c r="H12" s="56">
        <f>IF((H2&lt;F12),G12+(F12-H2)*2,G12)</f>
        <v>8</v>
      </c>
      <c r="I12" s="56">
        <v>7</v>
      </c>
      <c r="J12" s="56">
        <v>20</v>
      </c>
      <c r="K12" s="56" t="s">
        <v>214</v>
      </c>
      <c r="L12" s="56">
        <v>3</v>
      </c>
      <c r="M12" s="56">
        <v>1</v>
      </c>
      <c r="N12" s="57">
        <f>IF(I12&gt;D4,(D4-I12)*10%,(D4-I12)*5%)</f>
        <v>-0.70000000000000007</v>
      </c>
      <c r="O12" s="65"/>
      <c r="R12" s="62"/>
      <c r="S12" s="54"/>
    </row>
    <row r="13" spans="1:20" x14ac:dyDescent="0.3">
      <c r="A13" s="2">
        <v>5</v>
      </c>
      <c r="B13" s="36"/>
      <c r="C13" s="44" t="s">
        <v>297</v>
      </c>
      <c r="D13" s="56">
        <v>1</v>
      </c>
      <c r="E13" s="56">
        <v>2</v>
      </c>
      <c r="F13" s="56">
        <v>1</v>
      </c>
      <c r="G13" s="56">
        <v>3</v>
      </c>
      <c r="H13" s="56">
        <f>IF((H2&lt;F13),G13+(F13-H2)*2,G13)</f>
        <v>5</v>
      </c>
      <c r="I13" s="56">
        <v>8</v>
      </c>
      <c r="J13" s="56">
        <v>6</v>
      </c>
      <c r="K13" s="56" t="s">
        <v>214</v>
      </c>
      <c r="L13" s="56">
        <v>6</v>
      </c>
      <c r="M13" s="56">
        <v>3</v>
      </c>
      <c r="N13" s="64">
        <f>IF(I13&gt;D4,IF((100%+(D4-I13)*10%)&lt;10%,10%,100%+(D4-I13)*10%),100%+(D4-I13)*5%)</f>
        <v>0.19999999999999996</v>
      </c>
      <c r="O13" s="65"/>
      <c r="R13" s="5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2">
        <v>6</v>
      </c>
      <c r="B14" s="36"/>
      <c r="C14" s="44" t="s">
        <v>253</v>
      </c>
      <c r="D14" s="56">
        <v>4</v>
      </c>
      <c r="E14" s="56">
        <v>6</v>
      </c>
      <c r="F14" s="56">
        <v>2</v>
      </c>
      <c r="G14" s="56">
        <v>6</v>
      </c>
      <c r="H14" s="56">
        <f>IF((H2&lt;F14),G14+(F14-H2)*2,G14)</f>
        <v>10</v>
      </c>
      <c r="I14" s="56">
        <v>9</v>
      </c>
      <c r="J14" s="56">
        <v>8</v>
      </c>
      <c r="K14" s="56" t="s">
        <v>316</v>
      </c>
      <c r="L14" s="56">
        <v>2.4</v>
      </c>
      <c r="M14" s="56">
        <v>3</v>
      </c>
      <c r="N14" s="64">
        <f>IF(I14&gt;D4,IF((100%+(D4-I14)*10%)&lt;10%,10%,100%+(D4-I14)*10%),100%+(D4-I14)*5%)</f>
        <v>9.9999999999999978E-2</v>
      </c>
      <c r="O14" s="65"/>
      <c r="R14" s="62"/>
      <c r="S14" s="54"/>
    </row>
    <row r="15" spans="1:20" x14ac:dyDescent="0.3">
      <c r="A15" s="2">
        <v>7</v>
      </c>
      <c r="B15" s="36"/>
      <c r="C15" s="44" t="s">
        <v>298</v>
      </c>
      <c r="D15" s="56">
        <v>1</v>
      </c>
      <c r="E15" s="56">
        <v>2</v>
      </c>
      <c r="F15" s="56">
        <v>1</v>
      </c>
      <c r="G15" s="56">
        <v>6</v>
      </c>
      <c r="H15" s="56">
        <f>IF((H2&lt;F15),G15+(F15-H2)*2,G15)</f>
        <v>8</v>
      </c>
      <c r="I15" s="56">
        <v>8</v>
      </c>
      <c r="J15" s="56">
        <v>5</v>
      </c>
      <c r="K15" s="56" t="s">
        <v>316</v>
      </c>
      <c r="L15" s="56" t="s">
        <v>315</v>
      </c>
      <c r="M15" s="56" t="s">
        <v>214</v>
      </c>
      <c r="N15" s="57">
        <f>IF(I15&gt;D4,(D4-I15)*10%,(D4-I15)*5%)</f>
        <v>-0.8</v>
      </c>
      <c r="O15" s="65"/>
      <c r="R15" s="5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2">
        <v>8</v>
      </c>
      <c r="B16" s="36"/>
      <c r="C16" s="44" t="s">
        <v>299</v>
      </c>
      <c r="D16" s="56">
        <v>1</v>
      </c>
      <c r="E16" s="56">
        <v>2</v>
      </c>
      <c r="F16" s="56">
        <v>1</v>
      </c>
      <c r="G16" s="56">
        <v>5</v>
      </c>
      <c r="H16" s="56">
        <f>IF((H2&lt;F16),G16+(F16-H2)*2,G16)</f>
        <v>7</v>
      </c>
      <c r="I16" s="56">
        <v>8</v>
      </c>
      <c r="J16" s="56">
        <v>10</v>
      </c>
      <c r="K16" s="56" t="s">
        <v>214</v>
      </c>
      <c r="L16" s="56" t="s">
        <v>290</v>
      </c>
      <c r="M16" s="56">
        <v>2</v>
      </c>
      <c r="N16" s="64">
        <f>IF(I16&gt;D4,IF((100%+(D4-I16)*10%)&lt;10%,10%,100%+(D4-I16)*10%),100%+(D4-I16)*5%)</f>
        <v>0.19999999999999996</v>
      </c>
      <c r="O16" s="65"/>
      <c r="R16" s="62"/>
      <c r="S16" s="54"/>
    </row>
    <row r="17" spans="1:19" x14ac:dyDescent="0.3">
      <c r="A17" s="2">
        <v>9</v>
      </c>
      <c r="B17" s="36"/>
      <c r="C17" s="44" t="s">
        <v>306</v>
      </c>
      <c r="D17" s="56">
        <v>13</v>
      </c>
      <c r="E17" s="56">
        <v>13</v>
      </c>
      <c r="F17" s="56">
        <v>4</v>
      </c>
      <c r="G17" s="56">
        <v>5</v>
      </c>
      <c r="H17" s="56">
        <f>IF((H2&lt;F17),G17+(F17-H2)*2,G17)</f>
        <v>13</v>
      </c>
      <c r="I17" s="56">
        <v>11</v>
      </c>
      <c r="J17" s="56">
        <v>10</v>
      </c>
      <c r="K17" s="56" t="s">
        <v>316</v>
      </c>
      <c r="L17" s="56">
        <v>2.4</v>
      </c>
      <c r="M17" s="56">
        <v>3</v>
      </c>
      <c r="N17" s="64">
        <f>IF(I17&gt;D4,IF((100%+(D4-I17)*10%)&lt;10%,10%,100%+(D4-I17)*10%),100%+(D4-I17)*5%)</f>
        <v>0.1</v>
      </c>
      <c r="O17" s="65"/>
      <c r="R17" s="5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2">
        <v>10</v>
      </c>
      <c r="B18" s="36"/>
      <c r="C18" s="44" t="s">
        <v>300</v>
      </c>
      <c r="D18" s="56">
        <v>10</v>
      </c>
      <c r="E18" s="56">
        <v>12</v>
      </c>
      <c r="F18" s="56">
        <v>3</v>
      </c>
      <c r="G18" s="56">
        <v>8</v>
      </c>
      <c r="H18" s="56">
        <f>IF((H2&lt;F18),G18+(F18-H2)*2,G18)</f>
        <v>14</v>
      </c>
      <c r="I18" s="56">
        <v>11</v>
      </c>
      <c r="J18" s="56">
        <v>12</v>
      </c>
      <c r="K18" s="56" t="s">
        <v>316</v>
      </c>
      <c r="L18" s="56">
        <v>2.4</v>
      </c>
      <c r="M18" s="56" t="s">
        <v>214</v>
      </c>
      <c r="N18" s="57">
        <f>IF(I18&gt;D4,(D4-I18)*10%,(D4-I18)*5%)</f>
        <v>-1.1000000000000001</v>
      </c>
      <c r="O18" s="65"/>
      <c r="R18" s="62"/>
      <c r="S18" s="54"/>
    </row>
    <row r="19" spans="1:19" x14ac:dyDescent="0.3">
      <c r="A19" s="2">
        <v>11</v>
      </c>
      <c r="B19" s="36"/>
      <c r="C19" s="44" t="s">
        <v>301</v>
      </c>
      <c r="D19" s="56">
        <v>4</v>
      </c>
      <c r="E19" s="56">
        <v>4</v>
      </c>
      <c r="F19" s="56">
        <v>1</v>
      </c>
      <c r="G19" s="56">
        <v>3</v>
      </c>
      <c r="H19" s="56">
        <f>IF((H2&lt;F19),G19+(F19-H2)*2,G19)</f>
        <v>5</v>
      </c>
      <c r="I19" s="56">
        <v>8</v>
      </c>
      <c r="J19" s="56">
        <v>5</v>
      </c>
      <c r="K19" s="56" t="s">
        <v>214</v>
      </c>
      <c r="L19" s="56">
        <v>10</v>
      </c>
      <c r="M19" s="56" t="s">
        <v>214</v>
      </c>
      <c r="N19" s="57">
        <f>IF(I19&gt;D4,(D4-I19)*10%,(D4-I19)*5%)</f>
        <v>-0.8</v>
      </c>
      <c r="O19" s="65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2">
        <v>12</v>
      </c>
      <c r="B20" s="36"/>
      <c r="C20" s="44" t="s">
        <v>308</v>
      </c>
      <c r="D20" s="56">
        <v>13</v>
      </c>
      <c r="E20" s="56">
        <v>12</v>
      </c>
      <c r="F20" s="56">
        <v>3</v>
      </c>
      <c r="G20" s="56">
        <v>6</v>
      </c>
      <c r="H20" s="56">
        <f>IF((H2&lt;F20),G20+(F20-H2)*2,G20)</f>
        <v>12</v>
      </c>
      <c r="I20" s="56">
        <v>11</v>
      </c>
      <c r="J20" s="56">
        <v>10</v>
      </c>
      <c r="K20" s="56" t="s">
        <v>214</v>
      </c>
      <c r="L20" s="56" t="s">
        <v>290</v>
      </c>
      <c r="M20" s="56">
        <v>2</v>
      </c>
      <c r="N20" s="64">
        <f>IF(I20&gt;D4,IF((100%+(D4-I20)*10%)&lt;10%,10%,100%+(D4-I20)*10%),100%+(D4-I20)*5%)</f>
        <v>0.1</v>
      </c>
      <c r="O20" s="65"/>
      <c r="R20" s="63"/>
      <c r="S20" s="63"/>
    </row>
    <row r="21" spans="1:19" x14ac:dyDescent="0.3">
      <c r="A21" s="2">
        <v>13</v>
      </c>
      <c r="B21" s="36"/>
      <c r="C21" s="44" t="s">
        <v>302</v>
      </c>
      <c r="D21" s="56">
        <v>7</v>
      </c>
      <c r="E21" s="56">
        <v>9</v>
      </c>
      <c r="F21" s="56">
        <v>3</v>
      </c>
      <c r="G21" s="56">
        <v>5</v>
      </c>
      <c r="H21" s="56">
        <f>IF((H2&lt;F21),G21+(F21-H2)*2,G21)</f>
        <v>11</v>
      </c>
      <c r="I21" s="56">
        <v>10</v>
      </c>
      <c r="J21" s="56">
        <v>6</v>
      </c>
      <c r="K21" s="56" t="s">
        <v>214</v>
      </c>
      <c r="L21" s="56" t="s">
        <v>313</v>
      </c>
      <c r="M21" s="56">
        <v>2</v>
      </c>
      <c r="N21" s="64">
        <f>IF(I21&gt;D4,IF((100%+(D4-I21)*10%)&lt;10%,10%,100%+(D4-I21)*10%),100%+(D4-I21)*5%)</f>
        <v>0.1</v>
      </c>
      <c r="O21" s="65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2">
        <v>14</v>
      </c>
      <c r="B22" s="36"/>
      <c r="C22" s="44" t="s">
        <v>303</v>
      </c>
      <c r="D22" s="56">
        <v>1</v>
      </c>
      <c r="E22" s="56">
        <v>3</v>
      </c>
      <c r="F22" s="56">
        <v>1</v>
      </c>
      <c r="G22" s="56">
        <v>0</v>
      </c>
      <c r="H22" s="56">
        <f>IF((H2&lt;F22),G22+(F22-H2)*2,G22)</f>
        <v>2</v>
      </c>
      <c r="I22" s="56">
        <v>8</v>
      </c>
      <c r="J22" s="56">
        <v>0</v>
      </c>
      <c r="K22" s="56" t="s">
        <v>316</v>
      </c>
      <c r="L22" s="56" t="s">
        <v>194</v>
      </c>
      <c r="M22" s="56" t="s">
        <v>316</v>
      </c>
      <c r="N22" s="57">
        <f>IF(I22&gt;D4,(D4-I22)*10%,(D4-I22)*5%)</f>
        <v>-0.8</v>
      </c>
      <c r="O22" s="65"/>
      <c r="R22" s="63"/>
      <c r="S22" s="63"/>
    </row>
    <row r="23" spans="1:19" x14ac:dyDescent="0.3">
      <c r="A23" s="2">
        <v>15</v>
      </c>
      <c r="B23" s="36"/>
      <c r="C23" s="44" t="s">
        <v>309</v>
      </c>
      <c r="D23" s="56">
        <v>4</v>
      </c>
      <c r="E23" s="56">
        <v>6</v>
      </c>
      <c r="F23" s="56">
        <v>1</v>
      </c>
      <c r="G23" s="56">
        <v>0</v>
      </c>
      <c r="H23" s="56">
        <f>IF((H2&lt;F23),G23+(F23-H2)*2,G23)</f>
        <v>2</v>
      </c>
      <c r="I23" s="56">
        <v>9</v>
      </c>
      <c r="J23" s="56">
        <v>0</v>
      </c>
      <c r="K23" s="56" t="s">
        <v>316</v>
      </c>
      <c r="L23" s="56" t="s">
        <v>194</v>
      </c>
      <c r="M23" s="56" t="s">
        <v>316</v>
      </c>
      <c r="N23" s="57">
        <f>IF(I23&gt;D4,(D4-I23)*10%,(D4-I23)*5%)</f>
        <v>-0.9</v>
      </c>
      <c r="O23" s="65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2">
        <v>16</v>
      </c>
      <c r="B24" s="36"/>
      <c r="C24" s="44" t="s">
        <v>310</v>
      </c>
      <c r="D24" s="56">
        <v>16</v>
      </c>
      <c r="E24" s="56">
        <v>15</v>
      </c>
      <c r="F24" s="56">
        <v>4</v>
      </c>
      <c r="G24" s="56">
        <v>5</v>
      </c>
      <c r="H24" s="56">
        <f>IF((H2&lt;F24),G24+(F24-H2)*2,G24)</f>
        <v>13</v>
      </c>
      <c r="I24" s="56">
        <v>12</v>
      </c>
      <c r="J24" s="56">
        <v>6</v>
      </c>
      <c r="K24" s="56" t="s">
        <v>214</v>
      </c>
      <c r="L24" s="56" t="s">
        <v>313</v>
      </c>
      <c r="M24" s="56">
        <v>2</v>
      </c>
      <c r="N24" s="64">
        <f>IF(I24&gt;D4,IF((100%+(D4-I24)*10%)&lt;10%,10%,100%+(D4-I24)*10%),100%+(D4-I24)*5%)</f>
        <v>0.1</v>
      </c>
      <c r="O24" s="65"/>
      <c r="R24" s="63"/>
      <c r="S24" s="63"/>
    </row>
    <row r="25" spans="1:19" x14ac:dyDescent="0.3">
      <c r="A25" s="2">
        <v>17</v>
      </c>
      <c r="B25" s="36"/>
      <c r="C25" s="44" t="s">
        <v>311</v>
      </c>
      <c r="D25" s="56">
        <v>7</v>
      </c>
      <c r="E25" s="56">
        <v>8</v>
      </c>
      <c r="F25" s="56">
        <v>2</v>
      </c>
      <c r="G25" s="56">
        <v>6</v>
      </c>
      <c r="H25" s="56">
        <f>IF((H2&lt;F25),G25+(F25-H2)*2,G25)</f>
        <v>10</v>
      </c>
      <c r="I25" s="56">
        <v>10</v>
      </c>
      <c r="J25" s="56">
        <v>10</v>
      </c>
      <c r="K25" s="56" t="s">
        <v>214</v>
      </c>
      <c r="L25" s="56" t="s">
        <v>317</v>
      </c>
      <c r="M25" s="56">
        <v>2</v>
      </c>
      <c r="N25" s="57">
        <f>IF(I25&gt;D4,(D4-I25)*10%,(D4-I25)*5%)</f>
        <v>-1</v>
      </c>
      <c r="O25" s="65"/>
      <c r="R25" s="49" t="str">
        <f>IF(AND(D25&lt;=D2,H2&gt;0),1,"нельзя")</f>
        <v>нельзя</v>
      </c>
      <c r="S25" s="49" t="str">
        <f>IF(AND(D26&lt;=D2,H2&gt;0),1,"нельзя")</f>
        <v>нельзя</v>
      </c>
    </row>
    <row r="26" spans="1:19" x14ac:dyDescent="0.3">
      <c r="A26" s="2">
        <v>18</v>
      </c>
      <c r="B26" s="36"/>
      <c r="C26" s="44" t="s">
        <v>304</v>
      </c>
      <c r="D26" s="56">
        <v>10</v>
      </c>
      <c r="E26" s="56">
        <v>10</v>
      </c>
      <c r="F26" s="56">
        <v>3</v>
      </c>
      <c r="G26" s="56">
        <v>1</v>
      </c>
      <c r="H26" s="56">
        <f>IF((H2&lt;F26),G26+(F26-H2)*2,G26)</f>
        <v>7</v>
      </c>
      <c r="I26" s="56">
        <v>10</v>
      </c>
      <c r="J26" s="56">
        <v>4</v>
      </c>
      <c r="K26" s="56" t="s">
        <v>316</v>
      </c>
      <c r="L26" s="56" t="s">
        <v>194</v>
      </c>
      <c r="M26" s="56">
        <v>3</v>
      </c>
      <c r="N26" s="64">
        <f>IF(I26&gt;D4,IF((100%+(D4-I26)*10%)&lt;10%,10%,100%+(D4-I26)*10%),100%+(D4-I26)*5%)</f>
        <v>0.1</v>
      </c>
      <c r="O26" s="65"/>
      <c r="R26" s="63"/>
      <c r="S26" s="63"/>
    </row>
    <row r="27" spans="1:19" x14ac:dyDescent="0.3">
      <c r="A27" s="2">
        <v>19</v>
      </c>
      <c r="B27" s="36"/>
      <c r="C27" s="44" t="s">
        <v>312</v>
      </c>
      <c r="D27" s="56">
        <v>16</v>
      </c>
      <c r="E27" s="56">
        <v>16</v>
      </c>
      <c r="F27" s="56">
        <v>4</v>
      </c>
      <c r="G27" s="56">
        <v>7</v>
      </c>
      <c r="H27" s="56">
        <f>IF((H2&lt;F27),G27+(F27-H2)*2,G27)</f>
        <v>15</v>
      </c>
      <c r="I27" s="56">
        <v>12</v>
      </c>
      <c r="J27" s="56">
        <v>10</v>
      </c>
      <c r="K27" s="56" t="s">
        <v>214</v>
      </c>
      <c r="L27" s="56" t="s">
        <v>314</v>
      </c>
      <c r="M27" s="56">
        <v>2</v>
      </c>
      <c r="N27" s="64">
        <f>IF(I27&gt;D4,IF((60%+(D4-I27)*10%)&lt;10%,10%,60%+(D4-I27)*10%),60%+(D4-I27)*5%)</f>
        <v>0.1</v>
      </c>
      <c r="O27" s="65"/>
      <c r="R27" s="49" t="str">
        <f>IF(AND(D27&lt;=D2,H2&gt;0),1,"нельзя")</f>
        <v>нельзя</v>
      </c>
      <c r="S27" s="49" t="str">
        <f>IF(AND(D28&lt;=D2,H2&gt;0),1,"нельзя")</f>
        <v>нельзя</v>
      </c>
    </row>
    <row r="28" spans="1:19" x14ac:dyDescent="0.3">
      <c r="A28" s="2">
        <v>20</v>
      </c>
      <c r="B28" s="36"/>
      <c r="C28" s="44" t="s">
        <v>307</v>
      </c>
      <c r="D28" s="56">
        <v>7</v>
      </c>
      <c r="E28" s="56">
        <v>7</v>
      </c>
      <c r="F28" s="56">
        <v>2</v>
      </c>
      <c r="G28" s="56">
        <v>6</v>
      </c>
      <c r="H28" s="56">
        <f>IF((H2&lt;F28),G28+(F28-H2)*2,G28)</f>
        <v>10</v>
      </c>
      <c r="I28" s="56">
        <v>9</v>
      </c>
      <c r="J28" s="56">
        <v>6</v>
      </c>
      <c r="K28" s="56" t="s">
        <v>316</v>
      </c>
      <c r="L28" s="56">
        <v>3.4</v>
      </c>
      <c r="M28" s="56" t="s">
        <v>214</v>
      </c>
      <c r="N28" s="57">
        <f>IF(I28&gt;D4,(D4-I28)*10%,(D4-I28)*5%)</f>
        <v>-0.9</v>
      </c>
      <c r="O28" s="65"/>
      <c r="R28" s="63"/>
      <c r="S28" s="54"/>
    </row>
    <row r="29" spans="1:19" x14ac:dyDescent="0.3">
      <c r="R29" s="68"/>
      <c r="S29" s="68"/>
    </row>
    <row r="30" spans="1:19" x14ac:dyDescent="0.3">
      <c r="R30" s="34"/>
      <c r="S30" s="34"/>
    </row>
  </sheetData>
  <sheetProtection sheet="1" objects="1" scenarios="1"/>
  <mergeCells count="18">
    <mergeCell ref="A7:A8"/>
    <mergeCell ref="B7:B8"/>
    <mergeCell ref="C7:C8"/>
    <mergeCell ref="D7:D8"/>
    <mergeCell ref="E7:E8"/>
    <mergeCell ref="J4:K4"/>
    <mergeCell ref="J2:K2"/>
    <mergeCell ref="K7:K8"/>
    <mergeCell ref="O7:O8"/>
    <mergeCell ref="G7:H7"/>
    <mergeCell ref="I7:I8"/>
    <mergeCell ref="L7:L8"/>
    <mergeCell ref="M7:M8"/>
    <mergeCell ref="N7:N8"/>
    <mergeCell ref="J7:J8"/>
    <mergeCell ref="F2:G2"/>
    <mergeCell ref="F4:G4"/>
    <mergeCell ref="F7:F8"/>
  </mergeCells>
  <conditionalFormatting sqref="L2:M2">
    <cfRule type="containsText" dxfId="304" priority="78" operator="containsText" text="!!!">
      <formula>NOT(ISERROR(SEARCH("!!!",L2)))</formula>
    </cfRule>
  </conditionalFormatting>
  <conditionalFormatting sqref="I9:I28">
    <cfRule type="cellIs" dxfId="303" priority="77" operator="greaterThan">
      <formula>$D$4</formula>
    </cfRule>
  </conditionalFormatting>
  <conditionalFormatting sqref="F9:F28">
    <cfRule type="cellIs" dxfId="302" priority="76" operator="greaterThan">
      <formula>$H$2</formula>
    </cfRule>
  </conditionalFormatting>
  <conditionalFormatting sqref="C9">
    <cfRule type="expression" dxfId="301" priority="75">
      <formula>$D$9&gt;$D$2</formula>
    </cfRule>
  </conditionalFormatting>
  <conditionalFormatting sqref="C10">
    <cfRule type="expression" dxfId="300" priority="74">
      <formula>$D$10&gt;$D$2</formula>
    </cfRule>
  </conditionalFormatting>
  <conditionalFormatting sqref="C11">
    <cfRule type="expression" dxfId="299" priority="73">
      <formula>$D$11&gt;$D$2</formula>
    </cfRule>
  </conditionalFormatting>
  <conditionalFormatting sqref="C12">
    <cfRule type="expression" dxfId="298" priority="72">
      <formula>$D$12&gt;$D$2</formula>
    </cfRule>
  </conditionalFormatting>
  <conditionalFormatting sqref="C13">
    <cfRule type="expression" dxfId="297" priority="71">
      <formula>$D$13&gt;$D$2</formula>
    </cfRule>
  </conditionalFormatting>
  <conditionalFormatting sqref="C14">
    <cfRule type="expression" dxfId="296" priority="70">
      <formula>$D$14&gt;$D$2</formula>
    </cfRule>
  </conditionalFormatting>
  <conditionalFormatting sqref="C15">
    <cfRule type="expression" dxfId="295" priority="69">
      <formula>$D$15&gt;$D$2</formula>
    </cfRule>
  </conditionalFormatting>
  <conditionalFormatting sqref="C16">
    <cfRule type="expression" dxfId="294" priority="68">
      <formula>$D$16&gt;$D$2</formula>
    </cfRule>
  </conditionalFormatting>
  <conditionalFormatting sqref="C17">
    <cfRule type="expression" dxfId="293" priority="67">
      <formula>$D$17&gt;$D$2</formula>
    </cfRule>
  </conditionalFormatting>
  <conditionalFormatting sqref="C18">
    <cfRule type="expression" dxfId="292" priority="66">
      <formula>$D$18&gt;$D$2</formula>
    </cfRule>
  </conditionalFormatting>
  <conditionalFormatting sqref="C19">
    <cfRule type="expression" dxfId="291" priority="65">
      <formula>$D$19&gt;$D$2</formula>
    </cfRule>
  </conditionalFormatting>
  <conditionalFormatting sqref="C20">
    <cfRule type="expression" dxfId="290" priority="64">
      <formula>$D$20&gt;$D$2</formula>
    </cfRule>
  </conditionalFormatting>
  <conditionalFormatting sqref="C21">
    <cfRule type="expression" dxfId="289" priority="63">
      <formula>$D$21&gt;$D$2</formula>
    </cfRule>
  </conditionalFormatting>
  <conditionalFormatting sqref="C22">
    <cfRule type="expression" dxfId="288" priority="62">
      <formula>$D$22&gt;$D$2</formula>
    </cfRule>
  </conditionalFormatting>
  <conditionalFormatting sqref="C23">
    <cfRule type="expression" dxfId="287" priority="61">
      <formula>$D$23&gt;$D$2</formula>
    </cfRule>
  </conditionalFormatting>
  <conditionalFormatting sqref="C24">
    <cfRule type="expression" dxfId="286" priority="60">
      <formula>$D$24&gt;$D$2</formula>
    </cfRule>
  </conditionalFormatting>
  <conditionalFormatting sqref="C25">
    <cfRule type="expression" dxfId="285" priority="59">
      <formula>$D$25&gt;$D$2</formula>
    </cfRule>
  </conditionalFormatting>
  <conditionalFormatting sqref="C26">
    <cfRule type="expression" dxfId="284" priority="58">
      <formula>$D$26&gt;$D$2</formula>
    </cfRule>
  </conditionalFormatting>
  <conditionalFormatting sqref="C27">
    <cfRule type="expression" dxfId="283" priority="57">
      <formula>$D$27&gt;$D$2</formula>
    </cfRule>
  </conditionalFormatting>
  <conditionalFormatting sqref="D9:D28">
    <cfRule type="cellIs" dxfId="282" priority="56" operator="greaterThan">
      <formula>$D$2</formula>
    </cfRule>
  </conditionalFormatting>
  <conditionalFormatting sqref="H9">
    <cfRule type="cellIs" dxfId="281" priority="55" operator="greaterThan">
      <formula>$G$9</formula>
    </cfRule>
  </conditionalFormatting>
  <conditionalFormatting sqref="H10">
    <cfRule type="cellIs" dxfId="280" priority="54" operator="greaterThan">
      <formula>$G$10</formula>
    </cfRule>
  </conditionalFormatting>
  <conditionalFormatting sqref="H11">
    <cfRule type="cellIs" dxfId="279" priority="53" operator="greaterThan">
      <formula>$G$11</formula>
    </cfRule>
  </conditionalFormatting>
  <conditionalFormatting sqref="H12">
    <cfRule type="cellIs" dxfId="278" priority="52" operator="greaterThan">
      <formula>$G$12</formula>
    </cfRule>
  </conditionalFormatting>
  <conditionalFormatting sqref="H13">
    <cfRule type="cellIs" dxfId="277" priority="51" operator="greaterThan">
      <formula>$G$13</formula>
    </cfRule>
  </conditionalFormatting>
  <conditionalFormatting sqref="H14">
    <cfRule type="cellIs" dxfId="276" priority="50" operator="greaterThan">
      <formula>$G$14</formula>
    </cfRule>
  </conditionalFormatting>
  <conditionalFormatting sqref="H15">
    <cfRule type="cellIs" dxfId="275" priority="49" operator="greaterThan">
      <formula>$G$15</formula>
    </cfRule>
  </conditionalFormatting>
  <conditionalFormatting sqref="H16">
    <cfRule type="cellIs" dxfId="274" priority="48" operator="greaterThan">
      <formula>$G$16</formula>
    </cfRule>
  </conditionalFormatting>
  <conditionalFormatting sqref="H17">
    <cfRule type="cellIs" dxfId="273" priority="47" operator="greaterThan">
      <formula>$G$17</formula>
    </cfRule>
  </conditionalFormatting>
  <conditionalFormatting sqref="H18">
    <cfRule type="cellIs" dxfId="272" priority="46" operator="greaterThan">
      <formula>$G$18</formula>
    </cfRule>
  </conditionalFormatting>
  <conditionalFormatting sqref="H19">
    <cfRule type="cellIs" dxfId="271" priority="45" operator="greaterThan">
      <formula>$G$19</formula>
    </cfRule>
  </conditionalFormatting>
  <conditionalFormatting sqref="H20">
    <cfRule type="cellIs" dxfId="270" priority="44" operator="greaterThan">
      <formula>$G$20</formula>
    </cfRule>
  </conditionalFormatting>
  <conditionalFormatting sqref="H21">
    <cfRule type="cellIs" dxfId="269" priority="43" operator="greaterThan">
      <formula>$G$21</formula>
    </cfRule>
  </conditionalFormatting>
  <conditionalFormatting sqref="H22">
    <cfRule type="cellIs" dxfId="268" priority="42" operator="greaterThan">
      <formula>$G$22</formula>
    </cfRule>
  </conditionalFormatting>
  <conditionalFormatting sqref="H23">
    <cfRule type="cellIs" dxfId="267" priority="41" operator="greaterThan">
      <formula>$G$23</formula>
    </cfRule>
  </conditionalFormatting>
  <conditionalFormatting sqref="H24">
    <cfRule type="cellIs" dxfId="266" priority="40" operator="greaterThan">
      <formula>$G$24</formula>
    </cfRule>
  </conditionalFormatting>
  <conditionalFormatting sqref="H25">
    <cfRule type="cellIs" dxfId="265" priority="39" operator="greaterThan">
      <formula>$G$25</formula>
    </cfRule>
  </conditionalFormatting>
  <conditionalFormatting sqref="H26">
    <cfRule type="cellIs" dxfId="264" priority="38" operator="greaterThan">
      <formula>$G$26</formula>
    </cfRule>
  </conditionalFormatting>
  <conditionalFormatting sqref="H27">
    <cfRule type="cellIs" dxfId="263" priority="37" operator="greaterThan">
      <formula>$G$27</formula>
    </cfRule>
  </conditionalFormatting>
  <conditionalFormatting sqref="O9">
    <cfRule type="expression" dxfId="262" priority="36">
      <formula>$D$9&gt;$D$2</formula>
    </cfRule>
  </conditionalFormatting>
  <conditionalFormatting sqref="O10">
    <cfRule type="expression" dxfId="261" priority="35">
      <formula>$D$10&gt;$D$2</formula>
    </cfRule>
  </conditionalFormatting>
  <conditionalFormatting sqref="O11">
    <cfRule type="expression" dxfId="260" priority="34">
      <formula>$D$11&gt;$D$2</formula>
    </cfRule>
  </conditionalFormatting>
  <conditionalFormatting sqref="O12">
    <cfRule type="expression" dxfId="259" priority="33">
      <formula>$D$12&gt;$D$2</formula>
    </cfRule>
  </conditionalFormatting>
  <conditionalFormatting sqref="O13">
    <cfRule type="expression" dxfId="258" priority="32">
      <formula>$D$13&gt;$D$2</formula>
    </cfRule>
  </conditionalFormatting>
  <conditionalFormatting sqref="O14">
    <cfRule type="expression" dxfId="257" priority="31">
      <formula>$D$14&gt;$D$2</formula>
    </cfRule>
  </conditionalFormatting>
  <conditionalFormatting sqref="O15">
    <cfRule type="expression" dxfId="256" priority="30">
      <formula>$D$15&gt;$D$2</formula>
    </cfRule>
  </conditionalFormatting>
  <conditionalFormatting sqref="O16">
    <cfRule type="expression" dxfId="255" priority="29">
      <formula>$D$16&gt;$D$2</formula>
    </cfRule>
  </conditionalFormatting>
  <conditionalFormatting sqref="O17">
    <cfRule type="expression" dxfId="254" priority="28">
      <formula>$D$17&gt;$D$2</formula>
    </cfRule>
  </conditionalFormatting>
  <conditionalFormatting sqref="O18">
    <cfRule type="expression" dxfId="253" priority="27">
      <formula>$D$18&gt;$D$2</formula>
    </cfRule>
  </conditionalFormatting>
  <conditionalFormatting sqref="O19">
    <cfRule type="expression" dxfId="252" priority="26">
      <formula>$D$19&gt;$D$2</formula>
    </cfRule>
  </conditionalFormatting>
  <conditionalFormatting sqref="O20">
    <cfRule type="expression" dxfId="251" priority="25">
      <formula>$D$20&gt;$D$2</formula>
    </cfRule>
  </conditionalFormatting>
  <conditionalFormatting sqref="O21">
    <cfRule type="expression" dxfId="250" priority="24">
      <formula>$D$21&gt;$D$2</formula>
    </cfRule>
  </conditionalFormatting>
  <conditionalFormatting sqref="O22">
    <cfRule type="expression" dxfId="249" priority="23">
      <formula>$D$22&gt;$D$2</formula>
    </cfRule>
  </conditionalFormatting>
  <conditionalFormatting sqref="O23">
    <cfRule type="expression" dxfId="248" priority="22">
      <formula>$D$23&gt;$D$2</formula>
    </cfRule>
  </conditionalFormatting>
  <conditionalFormatting sqref="O24">
    <cfRule type="expression" dxfId="247" priority="21">
      <formula>$D$24&gt;$D$2</formula>
    </cfRule>
  </conditionalFormatting>
  <conditionalFormatting sqref="O25">
    <cfRule type="expression" dxfId="246" priority="20">
      <formula>$D$25&gt;$D$2</formula>
    </cfRule>
  </conditionalFormatting>
  <conditionalFormatting sqref="O26">
    <cfRule type="expression" dxfId="245" priority="19">
      <formula>$D$26&gt;$D$2</formula>
    </cfRule>
  </conditionalFormatting>
  <conditionalFormatting sqref="O27">
    <cfRule type="expression" dxfId="244" priority="18">
      <formula>$D$27&gt;$D$2</formula>
    </cfRule>
  </conditionalFormatting>
  <conditionalFormatting sqref="N9:N11 N13:N14 N16:N17 N20:N21 N24 N26:N27">
    <cfRule type="cellIs" dxfId="243" priority="17" operator="lessThan">
      <formula>1</formula>
    </cfRule>
  </conditionalFormatting>
  <conditionalFormatting sqref="C28">
    <cfRule type="expression" dxfId="242" priority="14">
      <formula>$D$28&gt;$D$2</formula>
    </cfRule>
  </conditionalFormatting>
  <conditionalFormatting sqref="O28">
    <cfRule type="expression" dxfId="241" priority="11">
      <formula>$D$28&gt;$D$2</formula>
    </cfRule>
  </conditionalFormatting>
  <conditionalFormatting sqref="H28">
    <cfRule type="cellIs" dxfId="240" priority="5" operator="greaterThan">
      <formula>$G$28</formula>
    </cfRule>
  </conditionalFormatting>
  <conditionalFormatting sqref="K9:K28">
    <cfRule type="cellIs" dxfId="239" priority="2" operator="equal">
      <formula>"+"</formula>
    </cfRule>
  </conditionalFormatting>
  <conditionalFormatting sqref="O9:O28">
    <cfRule type="expression" dxfId="238" priority="1">
      <formula>$H$2&lt;1</formula>
    </cfRule>
  </conditionalFormatting>
  <dataValidations count="41"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5">
      <formula1>$R$25:$R$26</formula1>
    </dataValidation>
    <dataValidation type="list" allowBlank="1" showInputMessage="1" showErrorMessage="1" sqref="O26">
      <formula1>$S$25:$S$26</formula1>
    </dataValidation>
    <dataValidation type="list" allowBlank="1" showInputMessage="1" showErrorMessage="1" sqref="O27">
      <formula1>$R$27:$R$28</formula1>
    </dataValidation>
    <dataValidation type="list" allowBlank="1" showInputMessage="1" showErrorMessage="1" sqref="O28">
      <formula1>$S$27:$S$28</formula1>
    </dataValidation>
    <dataValidation allowBlank="1" showInputMessage="1" showErrorMessage="1" prompt="вы долго бежите вперед по прямой, нанося всем противникам на своем пути рубящий урон;_x000a_шанс сбить цель с ног" sqref="C9"/>
    <dataValidation allowBlank="1" showInputMessage="1" showErrorMessage="1" prompt="нанесение увечия цели; рубящий урон" sqref="C10"/>
    <dataValidation allowBlank="1" showInputMessage="1" showErrorMessage="1" prompt="огромный кулак обрушивается на вашего врага и сбивает его с ног; дробящий урон" sqref="C11"/>
    <dataValidation allowBlank="1" showInputMessage="1" showErrorMessage="1" prompt="немедленное восстановление здоровья цели, находящейся по близости" sqref="C12"/>
    <dataValidation allowBlank="1" showInputMessage="1" showErrorMessage="1" prompt="снижение силы воли и крепости тела (область конуса);_x000a_действует на союзников;_x000a_очистка поверхности от эффектов" sqref="C13"/>
    <dataValidation allowBlank="1" showInputMessage="1" showErrorMessage="1" prompt="нанесение кровоточащей раны; рубящий урон" sqref="C14"/>
    <dataValidation allowBlank="1" showInputMessage="1" showErrorMessage="1" prompt="круговой удар выбранным оружием, наносящий рубящий урон всем противникам вокруг вас;_x000a_книга отсутствует, скил необходимо выбирать при создании персонажа" sqref="C15"/>
    <dataValidation allowBlank="1" showInputMessage="1" showErrorMessage="1" prompt="воодушевление союзников рядом с вами (повышает силу, ловкость, интеллект)" sqref="C16"/>
    <dataValidation allowBlank="1" showInputMessage="1" showErrorMessage="1" prompt="ослабление цели; рубящий урон" sqref="C17"/>
    <dataValidation allowBlank="1" showInputMessage="1" showErrorMessage="1" prompt="серия стремительных ударов выбранным оружием, наносящая рубящий урон" sqref="C18"/>
    <dataValidation allowBlank="1" showInputMessage="1" showErrorMessage="1" prompt="вы помогаете встать союзнику, сбитому с ног, или тушите горящего союзника" sqref="C19"/>
    <dataValidation allowBlank="1" showInputMessage="1" showErrorMessage="1" prompt="вдохновение союзников рядом с вами (повышает все атрибуты)" sqref="C20"/>
    <dataValidation allowBlank="1" showInputMessage="1" showErrorMessage="1" prompt="снижение сопротивления стихиям и физическим эффектам у противников, окружающих вас" sqref="C24"/>
    <dataValidation allowBlank="1" showInputMessage="1" showErrorMessage="1" prompt="увеличение урона в ближнем бою (смена стойки);_x000a_урон +25%, шанс на успешный удар -10%, доп. расход ОД при атаке - 1" sqref="C22"/>
    <dataValidation allowBlank="1" showInputMessage="1" showErrorMessage="1" prompt="повышение шанса на успешный удар в ближнем бою (смена стойки);_x000a_шанс на успешный удар +30%, доп. расход ОД при атаке - 1" sqref="C23"/>
    <dataValidation allowBlank="1" showInputMessage="1" showErrorMessage="1" prompt="вы телепортируетесь, оставляя на своем месте огненную поверхность; вы получаете урон от горения" sqref="C25"/>
    <dataValidation allowBlank="1" showInputMessage="1" showErrorMessage="1" prompt="вход в состояние ярости" sqref="C26"/>
    <dataValidation allowBlank="1" showInputMessage="1" showErrorMessage="1" prompt="враги вокруг вас разбегаются в страхе" sqref="C27"/>
    <dataValidation allowBlank="1" showInputMessage="1" showErrorMessage="1" prompt="круговая атака, наносящая рубящий урон всем противникам, находящимся поблизости" sqref="C28"/>
    <dataValidation allowBlank="1" showInputMessage="1" showErrorMessage="1" prompt="снижение сопротивления стихиям у противников, окружающих вас" sqref="C21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114" customWidth="1"/>
    <col min="16" max="16" width="10" style="45" customWidth="1"/>
    <col min="17" max="17" width="8.88671875" style="44" customWidth="1"/>
    <col min="18" max="18" width="8.88671875" style="114" hidden="1" customWidth="1"/>
    <col min="19" max="19" width="9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11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IF((IF(H2=1,3-L4,IF(H2=2,5-L4,IF(H2=3,7-L4,IF(H2=4,9-L4,IF(H2=5,15-L4,""))))))&gt;-1,(IF(H2=1,3-L4,IF(H2=2,5-L4,IF(H2=3,7-L4,IF(H2=4,9-L4,IF(H2=5,15-L4,"")))))),"!!!")</f>
        <v/>
      </c>
      <c r="M2" s="112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117" t="s">
        <v>333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SUM(O9:O23)</f>
        <v>0</v>
      </c>
      <c r="M4" s="112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74" t="s">
        <v>187</v>
      </c>
      <c r="K7" s="397" t="s">
        <v>334</v>
      </c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118" t="s">
        <v>28</v>
      </c>
      <c r="H8" s="114" t="s">
        <v>190</v>
      </c>
      <c r="I8" s="392"/>
      <c r="J8" s="374"/>
      <c r="K8" s="374"/>
      <c r="L8" s="392"/>
      <c r="M8" s="392"/>
      <c r="N8" s="391"/>
      <c r="O8" s="391"/>
    </row>
    <row r="9" spans="1:20" x14ac:dyDescent="0.3">
      <c r="A9" s="114">
        <v>1</v>
      </c>
      <c r="B9" s="36"/>
      <c r="C9" s="44" t="s">
        <v>329</v>
      </c>
      <c r="D9" s="56">
        <v>13</v>
      </c>
      <c r="E9" s="56">
        <v>13</v>
      </c>
      <c r="F9" s="56">
        <v>4</v>
      </c>
      <c r="G9" s="56">
        <v>6</v>
      </c>
      <c r="H9" s="56">
        <f>IF((H2&lt;F9),G9+(F9-H2)*2,G9)</f>
        <v>14</v>
      </c>
      <c r="I9" s="56">
        <v>11</v>
      </c>
      <c r="J9" s="56">
        <v>3</v>
      </c>
      <c r="K9" s="56" t="s">
        <v>316</v>
      </c>
      <c r="L9" s="56">
        <v>15</v>
      </c>
      <c r="M9" s="56" t="s">
        <v>214</v>
      </c>
      <c r="N9" s="57">
        <f>IF(I9&gt;D4,(D4-I9)*10%,(D4-I9)*5%)</f>
        <v>-1.1000000000000001</v>
      </c>
      <c r="O9" s="65"/>
      <c r="R9" s="12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114">
        <v>2</v>
      </c>
      <c r="B10" s="36"/>
      <c r="C10" s="44" t="s">
        <v>330</v>
      </c>
      <c r="D10" s="56">
        <v>7</v>
      </c>
      <c r="E10" s="56">
        <v>6</v>
      </c>
      <c r="F10" s="56">
        <v>2</v>
      </c>
      <c r="G10" s="56">
        <v>8</v>
      </c>
      <c r="H10" s="56">
        <f>IF((H2&lt;F10),G10+(F10-H2)*2,G10)</f>
        <v>12</v>
      </c>
      <c r="I10" s="56">
        <v>9</v>
      </c>
      <c r="J10" s="56">
        <v>6</v>
      </c>
      <c r="K10" s="56" t="s">
        <v>316</v>
      </c>
      <c r="L10" s="56">
        <v>12</v>
      </c>
      <c r="M10" s="56" t="s">
        <v>214</v>
      </c>
      <c r="N10" s="57">
        <f>IF(I10&gt;D4,(D4-I10)*10%,(D4-I10)*5%)</f>
        <v>-0.9</v>
      </c>
      <c r="O10" s="65"/>
      <c r="R10" s="62"/>
      <c r="S10" s="54"/>
    </row>
    <row r="11" spans="1:20" x14ac:dyDescent="0.3">
      <c r="A11" s="114">
        <v>3</v>
      </c>
      <c r="B11" s="36"/>
      <c r="C11" s="44" t="s">
        <v>319</v>
      </c>
      <c r="D11" s="56">
        <v>4</v>
      </c>
      <c r="E11" s="56">
        <v>8</v>
      </c>
      <c r="F11" s="56">
        <v>2</v>
      </c>
      <c r="G11" s="56">
        <v>4</v>
      </c>
      <c r="H11" s="56">
        <f>IF((H2&lt;F11),G11+(F11-H2)*2,G11)</f>
        <v>8</v>
      </c>
      <c r="I11" s="56">
        <v>10</v>
      </c>
      <c r="J11" s="56">
        <v>6</v>
      </c>
      <c r="K11" s="56" t="s">
        <v>214</v>
      </c>
      <c r="L11" s="56">
        <v>3</v>
      </c>
      <c r="M11" s="56" t="s">
        <v>214</v>
      </c>
      <c r="N11" s="57">
        <f>IF(I11&gt;D4,(D4-I11)*10%,(D4-I11)*5%)</f>
        <v>-1</v>
      </c>
      <c r="O11" s="65"/>
      <c r="R11" s="12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114">
        <v>4</v>
      </c>
      <c r="B12" s="36"/>
      <c r="C12" s="44" t="s">
        <v>320</v>
      </c>
      <c r="D12" s="56">
        <v>1</v>
      </c>
      <c r="E12" s="56">
        <v>3</v>
      </c>
      <c r="F12" s="56">
        <v>1</v>
      </c>
      <c r="G12" s="56">
        <v>3</v>
      </c>
      <c r="H12" s="56">
        <f>IF((H2&lt;F12),G12+(F12-H2)*2,G12)</f>
        <v>5</v>
      </c>
      <c r="I12" s="56">
        <v>8</v>
      </c>
      <c r="J12" s="56">
        <v>5</v>
      </c>
      <c r="K12" s="56" t="s">
        <v>214</v>
      </c>
      <c r="L12" s="56">
        <v>3</v>
      </c>
      <c r="M12" s="56" t="s">
        <v>214</v>
      </c>
      <c r="N12" s="57">
        <f>IF(I12&gt;D4,(D4-I12)*10%,(D4-I12)*5%)</f>
        <v>-0.8</v>
      </c>
      <c r="O12" s="65"/>
      <c r="R12" s="62"/>
      <c r="S12" s="54"/>
    </row>
    <row r="13" spans="1:20" x14ac:dyDescent="0.3">
      <c r="A13" s="114">
        <v>5</v>
      </c>
      <c r="B13" s="36"/>
      <c r="C13" s="44" t="s">
        <v>331</v>
      </c>
      <c r="D13" s="56">
        <v>10</v>
      </c>
      <c r="E13" s="56">
        <v>10</v>
      </c>
      <c r="F13" s="56">
        <v>3</v>
      </c>
      <c r="G13" s="56">
        <v>6</v>
      </c>
      <c r="H13" s="56">
        <f>IF((H2&lt;F13),G13+(F13-H2)*2,G13)</f>
        <v>12</v>
      </c>
      <c r="I13" s="56">
        <v>10</v>
      </c>
      <c r="J13" s="56">
        <v>8</v>
      </c>
      <c r="K13" s="56" t="s">
        <v>214</v>
      </c>
      <c r="L13" s="56">
        <v>3</v>
      </c>
      <c r="M13" s="56">
        <v>4</v>
      </c>
      <c r="N13" s="64">
        <f>IF(I13&gt;D4,IF((100%+(D4-I13)*10%)&lt;10%,10%,100%+(D4-I13)*10%),100%+(D4-I13)*5%)</f>
        <v>0.1</v>
      </c>
      <c r="O13" s="65"/>
      <c r="R13" s="12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114">
        <v>6</v>
      </c>
      <c r="B14" s="36"/>
      <c r="C14" s="44" t="s">
        <v>332</v>
      </c>
      <c r="D14" s="56">
        <v>1</v>
      </c>
      <c r="E14" s="56">
        <v>2</v>
      </c>
      <c r="F14" s="56">
        <v>1</v>
      </c>
      <c r="G14" s="56">
        <v>5</v>
      </c>
      <c r="H14" s="56">
        <f>IF((H2&lt;F14),G14+(F14-H2)*2,G14)</f>
        <v>7</v>
      </c>
      <c r="I14" s="56">
        <v>8</v>
      </c>
      <c r="J14" s="56">
        <v>6</v>
      </c>
      <c r="K14" s="56" t="s">
        <v>214</v>
      </c>
      <c r="L14" s="56">
        <v>14</v>
      </c>
      <c r="M14" s="56">
        <v>2</v>
      </c>
      <c r="N14" s="64">
        <f>IF(I14&gt;D4,IF((50%+(D4-I14)*10%)&lt;10%,10%,50%+(D4-I14)*10%),50%+(D4-I14)*5%)</f>
        <v>0.1</v>
      </c>
      <c r="O14" s="65"/>
      <c r="R14" s="62"/>
      <c r="S14" s="54"/>
    </row>
    <row r="15" spans="1:20" x14ac:dyDescent="0.3">
      <c r="A15" s="114">
        <v>7</v>
      </c>
      <c r="B15" s="36"/>
      <c r="C15" s="44" t="s">
        <v>163</v>
      </c>
      <c r="D15" s="56">
        <v>7</v>
      </c>
      <c r="E15" s="56">
        <v>7</v>
      </c>
      <c r="F15" s="56">
        <v>2</v>
      </c>
      <c r="G15" s="56">
        <v>5</v>
      </c>
      <c r="H15" s="56">
        <f>IF((H2&lt;F15),G15+(F15-H2)*2,G15)</f>
        <v>9</v>
      </c>
      <c r="I15" s="56">
        <v>9</v>
      </c>
      <c r="J15" s="56">
        <v>8</v>
      </c>
      <c r="K15" s="56" t="s">
        <v>214</v>
      </c>
      <c r="L15" s="56">
        <v>16</v>
      </c>
      <c r="M15" s="56">
        <v>3</v>
      </c>
      <c r="N15" s="64">
        <f>IF(I15&gt;D4,IF((100%+(D4-I15)*10%)&lt;10%,10%,100%+(D4-I15)*10%),100%+(D4-I15)*5%)</f>
        <v>9.9999999999999978E-2</v>
      </c>
      <c r="O15" s="65"/>
      <c r="R15" s="12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114">
        <v>8</v>
      </c>
      <c r="B16" s="36"/>
      <c r="C16" s="44" t="s">
        <v>321</v>
      </c>
      <c r="D16" s="56">
        <v>1</v>
      </c>
      <c r="E16" s="56">
        <v>2</v>
      </c>
      <c r="F16" s="56">
        <v>1</v>
      </c>
      <c r="G16" s="56">
        <v>0</v>
      </c>
      <c r="H16" s="56">
        <f>IF((H2&lt;F16),G16+(F16-H2)*2,G16)</f>
        <v>2</v>
      </c>
      <c r="I16" s="56">
        <v>8</v>
      </c>
      <c r="J16" s="56">
        <v>0</v>
      </c>
      <c r="K16" s="56" t="s">
        <v>316</v>
      </c>
      <c r="L16" s="56" t="s">
        <v>194</v>
      </c>
      <c r="M16" s="56" t="s">
        <v>316</v>
      </c>
      <c r="N16" s="57">
        <f>IF(I16&gt;D4,(D4-I16)*10%,(D4-I16)*5%)</f>
        <v>-0.8</v>
      </c>
      <c r="O16" s="65"/>
      <c r="R16" s="62"/>
      <c r="S16" s="54"/>
    </row>
    <row r="17" spans="1:19" x14ac:dyDescent="0.3">
      <c r="A17" s="114">
        <v>9</v>
      </c>
      <c r="B17" s="36"/>
      <c r="C17" s="44" t="s">
        <v>322</v>
      </c>
      <c r="D17" s="56">
        <v>4</v>
      </c>
      <c r="E17" s="56">
        <v>4</v>
      </c>
      <c r="F17" s="56">
        <v>1</v>
      </c>
      <c r="G17" s="56">
        <v>0</v>
      </c>
      <c r="H17" s="56">
        <f>IF((H2&lt;F17),G17+(F17-H2)*2,G17)</f>
        <v>2</v>
      </c>
      <c r="I17" s="56">
        <v>8</v>
      </c>
      <c r="J17" s="56">
        <v>0</v>
      </c>
      <c r="K17" s="56" t="s">
        <v>316</v>
      </c>
      <c r="L17" s="56" t="s">
        <v>194</v>
      </c>
      <c r="M17" s="56" t="s">
        <v>316</v>
      </c>
      <c r="N17" s="57">
        <f>IF(I17&gt;D4,(D4-I17)*10%,(D4-I17)*5%)</f>
        <v>-0.8</v>
      </c>
      <c r="O17" s="65"/>
      <c r="R17" s="12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114">
        <v>10</v>
      </c>
      <c r="B18" s="36"/>
      <c r="C18" s="44" t="s">
        <v>323</v>
      </c>
      <c r="D18" s="56">
        <v>10</v>
      </c>
      <c r="E18" s="56">
        <v>10</v>
      </c>
      <c r="F18" s="56">
        <v>3</v>
      </c>
      <c r="G18" s="56">
        <v>5</v>
      </c>
      <c r="H18" s="56">
        <f>IF((H2&lt;F18),G18+(F18-H2)*2,G18)</f>
        <v>11</v>
      </c>
      <c r="I18" s="56">
        <v>10</v>
      </c>
      <c r="J18" s="56">
        <v>6</v>
      </c>
      <c r="K18" s="56" t="s">
        <v>214</v>
      </c>
      <c r="L18" s="56">
        <v>15</v>
      </c>
      <c r="M18" s="56">
        <v>3</v>
      </c>
      <c r="N18" s="64">
        <f>IF(I18&gt;D4,IF((100%+(D4-I18)*10%)&lt;10%,10%,100%+(D4-I18)*10%),100%+(D4-I18)*5%)</f>
        <v>0.1</v>
      </c>
      <c r="O18" s="65"/>
      <c r="R18" s="62"/>
      <c r="S18" s="54"/>
    </row>
    <row r="19" spans="1:19" x14ac:dyDescent="0.3">
      <c r="A19" s="114">
        <v>11</v>
      </c>
      <c r="B19" s="36"/>
      <c r="C19" s="44" t="s">
        <v>324</v>
      </c>
      <c r="D19" s="56">
        <v>1</v>
      </c>
      <c r="E19" s="56">
        <v>2</v>
      </c>
      <c r="F19" s="56">
        <v>1</v>
      </c>
      <c r="G19" s="56">
        <v>6</v>
      </c>
      <c r="H19" s="56">
        <f>IF((H2&lt;F19),G19+(F19-H2)*2,G19)</f>
        <v>8</v>
      </c>
      <c r="I19" s="56">
        <v>8</v>
      </c>
      <c r="J19" s="56">
        <v>5</v>
      </c>
      <c r="K19" s="56" t="s">
        <v>316</v>
      </c>
      <c r="L19" s="56">
        <v>15</v>
      </c>
      <c r="M19" s="56" t="s">
        <v>214</v>
      </c>
      <c r="N19" s="57">
        <f>IF(I19&gt;D4,(D4-I19)*10%,(D4-I19)*5%)</f>
        <v>-0.8</v>
      </c>
      <c r="O19" s="65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114">
        <v>12</v>
      </c>
      <c r="B20" s="36"/>
      <c r="C20" s="44" t="s">
        <v>325</v>
      </c>
      <c r="D20" s="56">
        <v>7</v>
      </c>
      <c r="E20" s="56">
        <v>9</v>
      </c>
      <c r="F20" s="56">
        <v>3</v>
      </c>
      <c r="G20" s="56">
        <v>6</v>
      </c>
      <c r="H20" s="56">
        <f>IF((H2&lt;F20),G20+(F20-H2)*2,G20)</f>
        <v>12</v>
      </c>
      <c r="I20" s="56">
        <v>10</v>
      </c>
      <c r="J20" s="56">
        <v>10</v>
      </c>
      <c r="K20" s="56" t="s">
        <v>214</v>
      </c>
      <c r="L20" s="56" t="s">
        <v>335</v>
      </c>
      <c r="M20" s="56">
        <v>3</v>
      </c>
      <c r="N20" s="64">
        <f>IF(I20&gt;D4,IF((100%+(D4-I20)*10%)&lt;10%,10%,100%+(D4-I20)*10%),100%+(D4-I20)*5%)</f>
        <v>0.1</v>
      </c>
      <c r="O20" s="65"/>
      <c r="R20" s="63"/>
      <c r="S20" s="63"/>
    </row>
    <row r="21" spans="1:19" x14ac:dyDescent="0.3">
      <c r="A21" s="114">
        <v>13</v>
      </c>
      <c r="B21" s="36"/>
      <c r="C21" s="44" t="s">
        <v>326</v>
      </c>
      <c r="D21" s="56">
        <v>1</v>
      </c>
      <c r="E21" s="56">
        <v>2</v>
      </c>
      <c r="F21" s="56">
        <v>1</v>
      </c>
      <c r="G21" s="56">
        <v>4</v>
      </c>
      <c r="H21" s="56">
        <f>IF((H2&lt;F21),G21+(F21-H2)*2,G21)</f>
        <v>6</v>
      </c>
      <c r="I21" s="56">
        <v>8</v>
      </c>
      <c r="J21" s="56">
        <v>9</v>
      </c>
      <c r="K21" s="56" t="s">
        <v>214</v>
      </c>
      <c r="L21" s="56">
        <v>15</v>
      </c>
      <c r="M21" s="56" t="s">
        <v>214</v>
      </c>
      <c r="N21" s="57">
        <f>IF(I21&gt;D4,(D4-I21)*10%,(D4-I21)*5%)</f>
        <v>-0.8</v>
      </c>
      <c r="O21" s="65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114">
        <v>14</v>
      </c>
      <c r="B22" s="36"/>
      <c r="C22" s="44" t="s">
        <v>327</v>
      </c>
      <c r="D22" s="56">
        <v>4</v>
      </c>
      <c r="E22" s="56">
        <v>5</v>
      </c>
      <c r="F22" s="56">
        <v>2</v>
      </c>
      <c r="G22" s="56">
        <v>5</v>
      </c>
      <c r="H22" s="56">
        <f>IF((H2&lt;F22),G22+(F22-H2)*2,G22)</f>
        <v>9</v>
      </c>
      <c r="I22" s="56">
        <v>9</v>
      </c>
      <c r="J22" s="56">
        <v>1</v>
      </c>
      <c r="K22" s="56" t="s">
        <v>214</v>
      </c>
      <c r="L22" s="56">
        <v>3</v>
      </c>
      <c r="M22" s="56" t="s">
        <v>214</v>
      </c>
      <c r="N22" s="57">
        <f>IF(I22&gt;D4,(D4-I22)*10%,(D4-I22)*5%)</f>
        <v>-0.9</v>
      </c>
      <c r="O22" s="65"/>
      <c r="R22" s="63"/>
      <c r="S22" s="63"/>
    </row>
    <row r="23" spans="1:19" x14ac:dyDescent="0.3">
      <c r="A23" s="114">
        <v>15</v>
      </c>
      <c r="B23" s="36"/>
      <c r="C23" s="44" t="s">
        <v>328</v>
      </c>
      <c r="D23" s="56">
        <v>14</v>
      </c>
      <c r="E23" s="56">
        <v>14</v>
      </c>
      <c r="F23" s="56">
        <v>4</v>
      </c>
      <c r="G23" s="56">
        <v>6</v>
      </c>
      <c r="H23" s="56">
        <f>IF((H2&lt;F23),G23+(F23-H2)*2,G23)</f>
        <v>14</v>
      </c>
      <c r="I23" s="56">
        <v>12</v>
      </c>
      <c r="J23" s="56">
        <v>1</v>
      </c>
      <c r="K23" s="56" t="s">
        <v>316</v>
      </c>
      <c r="L23" s="56" t="s">
        <v>249</v>
      </c>
      <c r="M23" s="56" t="s">
        <v>214</v>
      </c>
      <c r="N23" s="57">
        <f>IF(I23&gt;D4,(D4-I23)*10%,(D4-I23)*5%)</f>
        <v>-1.2000000000000002</v>
      </c>
      <c r="O23" s="65"/>
      <c r="R23" s="49" t="str">
        <f>IF(AND(D23&lt;=D2,H2&gt;0),1,"нельзя")</f>
        <v>нельзя</v>
      </c>
      <c r="S23" s="112"/>
    </row>
    <row r="24" spans="1:19" x14ac:dyDescent="0.3">
      <c r="R24" s="63"/>
      <c r="S24" s="66"/>
    </row>
    <row r="25" spans="1:19" x14ac:dyDescent="0.3">
      <c r="R25" s="112"/>
      <c r="S25" s="112"/>
    </row>
    <row r="26" spans="1:19" x14ac:dyDescent="0.3">
      <c r="R26" s="66"/>
      <c r="S26" s="66"/>
    </row>
    <row r="27" spans="1:19" x14ac:dyDescent="0.3">
      <c r="R27" s="112"/>
      <c r="S27" s="66"/>
    </row>
    <row r="28" spans="1:19" x14ac:dyDescent="0.3">
      <c r="R28" s="66"/>
      <c r="S28" s="66"/>
    </row>
    <row r="29" spans="1:19" x14ac:dyDescent="0.3">
      <c r="R29" s="112"/>
      <c r="S29" s="66"/>
    </row>
    <row r="30" spans="1:19" x14ac:dyDescent="0.3">
      <c r="R30" s="112"/>
      <c r="S30" s="66"/>
    </row>
  </sheetData>
  <sheetProtection sheet="1" objects="1" scenarios="1"/>
  <mergeCells count="18"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  <mergeCell ref="N7:N8"/>
    <mergeCell ref="O7:O8"/>
    <mergeCell ref="G7:H7"/>
    <mergeCell ref="I7:I8"/>
    <mergeCell ref="J7:J8"/>
    <mergeCell ref="K7:K8"/>
    <mergeCell ref="L7:L8"/>
    <mergeCell ref="M7:M8"/>
  </mergeCells>
  <conditionalFormatting sqref="L2:M2">
    <cfRule type="containsText" dxfId="237" priority="67" operator="containsText" text="!!!">
      <formula>NOT(ISERROR(SEARCH("!!!",L2)))</formula>
    </cfRule>
  </conditionalFormatting>
  <conditionalFormatting sqref="I9:I23">
    <cfRule type="cellIs" dxfId="236" priority="66" operator="greaterThan">
      <formula>$D$4</formula>
    </cfRule>
  </conditionalFormatting>
  <conditionalFormatting sqref="F9:F23">
    <cfRule type="cellIs" dxfId="235" priority="65" operator="greaterThan">
      <formula>$H$2</formula>
    </cfRule>
  </conditionalFormatting>
  <conditionalFormatting sqref="D9:D23">
    <cfRule type="cellIs" dxfId="234" priority="45" operator="greaterThan">
      <formula>$D$2</formula>
    </cfRule>
  </conditionalFormatting>
  <conditionalFormatting sqref="H9">
    <cfRule type="cellIs" dxfId="233" priority="44" operator="greaterThan">
      <formula>$G$9</formula>
    </cfRule>
  </conditionalFormatting>
  <conditionalFormatting sqref="H10">
    <cfRule type="cellIs" dxfId="232" priority="43" operator="greaterThan">
      <formula>$G$10</formula>
    </cfRule>
  </conditionalFormatting>
  <conditionalFormatting sqref="H11">
    <cfRule type="cellIs" dxfId="231" priority="42" operator="greaterThan">
      <formula>$G$11</formula>
    </cfRule>
  </conditionalFormatting>
  <conditionalFormatting sqref="H12">
    <cfRule type="cellIs" dxfId="230" priority="41" operator="greaterThan">
      <formula>$G$12</formula>
    </cfRule>
  </conditionalFormatting>
  <conditionalFormatting sqref="H13">
    <cfRule type="cellIs" dxfId="229" priority="40" operator="greaterThan">
      <formula>$G$13</formula>
    </cfRule>
  </conditionalFormatting>
  <conditionalFormatting sqref="H14">
    <cfRule type="cellIs" dxfId="228" priority="39" operator="greaterThan">
      <formula>$G$14</formula>
    </cfRule>
  </conditionalFormatting>
  <conditionalFormatting sqref="H15">
    <cfRule type="cellIs" dxfId="227" priority="38" operator="greaterThan">
      <formula>$G$15</formula>
    </cfRule>
  </conditionalFormatting>
  <conditionalFormatting sqref="H16">
    <cfRule type="cellIs" dxfId="226" priority="37" operator="greaterThan">
      <formula>$G$16</formula>
    </cfRule>
  </conditionalFormatting>
  <conditionalFormatting sqref="H17">
    <cfRule type="cellIs" dxfId="225" priority="36" operator="greaterThan">
      <formula>$G$17</formula>
    </cfRule>
  </conditionalFormatting>
  <conditionalFormatting sqref="H18">
    <cfRule type="cellIs" dxfId="224" priority="35" operator="greaterThan">
      <formula>$G$18</formula>
    </cfRule>
  </conditionalFormatting>
  <conditionalFormatting sqref="H19">
    <cfRule type="cellIs" dxfId="223" priority="34" operator="greaterThan">
      <formula>$G$19</formula>
    </cfRule>
  </conditionalFormatting>
  <conditionalFormatting sqref="H20">
    <cfRule type="cellIs" dxfId="222" priority="33" operator="greaterThan">
      <formula>$G$20</formula>
    </cfRule>
  </conditionalFormatting>
  <conditionalFormatting sqref="H21">
    <cfRule type="cellIs" dxfId="221" priority="32" operator="greaterThan">
      <formula>$G$21</formula>
    </cfRule>
  </conditionalFormatting>
  <conditionalFormatting sqref="H22">
    <cfRule type="cellIs" dxfId="220" priority="31" operator="greaterThan">
      <formula>$G$22</formula>
    </cfRule>
  </conditionalFormatting>
  <conditionalFormatting sqref="H23">
    <cfRule type="cellIs" dxfId="219" priority="30" operator="greaterThan">
      <formula>$G$23</formula>
    </cfRule>
  </conditionalFormatting>
  <conditionalFormatting sqref="O9">
    <cfRule type="expression" dxfId="218" priority="25">
      <formula>$D$9&gt;$D$2</formula>
    </cfRule>
  </conditionalFormatting>
  <conditionalFormatting sqref="O10">
    <cfRule type="expression" dxfId="217" priority="24">
      <formula>$D$10&gt;$D$2</formula>
    </cfRule>
  </conditionalFormatting>
  <conditionalFormatting sqref="O11">
    <cfRule type="expression" dxfId="216" priority="23">
      <formula>$D$11&gt;$D$2</formula>
    </cfRule>
  </conditionalFormatting>
  <conditionalFormatting sqref="O12">
    <cfRule type="expression" dxfId="215" priority="22">
      <formula>$D$12&gt;$D$2</formula>
    </cfRule>
  </conditionalFormatting>
  <conditionalFormatting sqref="O13">
    <cfRule type="expression" dxfId="214" priority="21">
      <formula>$D$13&gt;$D$2</formula>
    </cfRule>
  </conditionalFormatting>
  <conditionalFormatting sqref="O14">
    <cfRule type="expression" dxfId="213" priority="20">
      <formula>$D$14&gt;$D$2</formula>
    </cfRule>
  </conditionalFormatting>
  <conditionalFormatting sqref="O15">
    <cfRule type="expression" dxfId="212" priority="19">
      <formula>$D$15&gt;$D$2</formula>
    </cfRule>
  </conditionalFormatting>
  <conditionalFormatting sqref="O16">
    <cfRule type="expression" dxfId="211" priority="18">
      <formula>$D$16&gt;$D$2</formula>
    </cfRule>
  </conditionalFormatting>
  <conditionalFormatting sqref="O17">
    <cfRule type="expression" dxfId="210" priority="17">
      <formula>$D$17&gt;$D$2</formula>
    </cfRule>
  </conditionalFormatting>
  <conditionalFormatting sqref="O18">
    <cfRule type="expression" dxfId="209" priority="16">
      <formula>$D$18&gt;$D$2</formula>
    </cfRule>
  </conditionalFormatting>
  <conditionalFormatting sqref="O19">
    <cfRule type="expression" dxfId="208" priority="15">
      <formula>$D$19&gt;$D$2</formula>
    </cfRule>
  </conditionalFormatting>
  <conditionalFormatting sqref="O20">
    <cfRule type="expression" dxfId="207" priority="14">
      <formula>$D$20&gt;$D$2</formula>
    </cfRule>
  </conditionalFormatting>
  <conditionalFormatting sqref="O21">
    <cfRule type="expression" dxfId="206" priority="13">
      <formula>$D$21&gt;$D$2</formula>
    </cfRule>
  </conditionalFormatting>
  <conditionalFormatting sqref="O22">
    <cfRule type="expression" dxfId="205" priority="12">
      <formula>$D$22&gt;$D$2</formula>
    </cfRule>
  </conditionalFormatting>
  <conditionalFormatting sqref="O23">
    <cfRule type="expression" dxfId="204" priority="11">
      <formula>$D$23&gt;$D$2</formula>
    </cfRule>
  </conditionalFormatting>
  <conditionalFormatting sqref="N13:N15 N18 N20">
    <cfRule type="cellIs" dxfId="203" priority="6" operator="lessThan">
      <formula>1</formula>
    </cfRule>
  </conditionalFormatting>
  <conditionalFormatting sqref="K9:K23">
    <cfRule type="cellIs" dxfId="202" priority="2" operator="equal">
      <formula>"+"</formula>
    </cfRule>
  </conditionalFormatting>
  <conditionalFormatting sqref="O9:O23">
    <cfRule type="expression" priority="1">
      <formula>$H$2&lt;1</formula>
    </cfRule>
  </conditionalFormatting>
  <dataValidations count="31">
    <dataValidation type="list" allowBlank="1" showInputMessage="1" showErrorMessage="1" sqref="O23">
      <formula1>$R$23:$R$24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0">
      <formula1>$S$9:$S$10</formula1>
    </dataValidation>
    <dataValidation type="list" errorStyle="warning" allowBlank="1" showInputMessage="1" showErrorMessage="1" sqref="O9">
      <formula1>$R$9:$R$10</formula1>
    </dataValidation>
    <dataValidation type="list" errorStyle="warning" showInputMessage="1" showErrorMessage="1" sqref="H2">
      <formula1>$R$2:$R$7</formula1>
    </dataValidation>
    <dataValidation allowBlank="1" showInputMessage="1" showErrorMessage="1" prompt="выпускает в выделенную область множество стрел, которые наносят колющий урон; наносит урон союзникам;_x000a_книги нет в свободной продаже" sqref="C23"/>
    <dataValidation allowBlank="1" showInputMessage="1" showErrorMessage="1" prompt="вы выпускаете несколько стрел веером; каждая стрела наносит колющий урон (область конуса);_x000a_книги нет в свободной продаже" sqref="C9"/>
    <dataValidation allowBlank="1" showInputMessage="1" showErrorMessage="1" prompt="вы выпускаете несколько стрел по прямой; каждая стрела наносит колющий урон;_x000a_книги нет в свободной продаже" sqref="C10"/>
    <dataValidation allowBlank="1" showInputMessage="1" showErrorMessage="1" prompt="лечение ослабления, слепоты, немоты и заразных болезней" sqref="C11"/>
    <dataValidation allowBlank="1" showInputMessage="1" showErrorMessage="1" prompt="лечение кровотечения, увечий и болезней" sqref="C12"/>
    <dataValidation allowBlank="1" showInputMessage="1" showErrorMessage="1" prompt="вызов болезни у цели, находящейся поблизости" sqref="C13"/>
    <dataValidation allowBlank="1" showInputMessage="1" showErrorMessage="1" prompt="очарование цели; _x000a_создается из свитка" sqref="C14"/>
    <dataValidation allowBlank="1" showInputMessage="1" showErrorMessage="1" prompt="наложение немоты на цель" sqref="C15"/>
    <dataValidation allowBlank="1" showInputMessage="1" showErrorMessage="1" prompt="увеличение урона от выстрелов из лука или арбалета (смена стойки);_x000a_урон +25%, шанс на успешный удар -10%, доп. расход ОД при атаке - 1" sqref="C16"/>
    <dataValidation allowBlank="1" showInputMessage="1" showErrorMessage="1" prompt="повышение шанса на успешный выстрел из лука или арбалета (смена стойки);_x000a_шанс на успешный удар +30%, доп. расход ОД при атаке - 1" sqref="C17"/>
    <dataValidation allowBlank="1" showInputMessage="1" showErrorMessage="1" prompt="очарование цели" sqref="C18"/>
    <dataValidation allowBlank="1" showInputMessage="1" showErrorMessage="1" prompt="выстрел обычной стрелой, которая наносит колющий урон, а затем рикошетит в следующую цель (до 4 целей в радиусе 8 метров)" sqref="C19"/>
    <dataValidation allowBlank="1" showInputMessage="1" showErrorMessage="1" prompt="повышение удачи и шанса крит. урона вашего персонажа и союзников рядом с ним" sqref="C20"/>
    <dataValidation allowBlank="1" showInputMessage="1" showErrorMessage="1" prompt="быстрое покидание опасной ситуации" sqref="C21"/>
    <dataValidation allowBlank="1" showInputMessage="1" showErrorMessage="1" prompt="лечит от отравления" sqref="C22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114" customWidth="1"/>
    <col min="16" max="16" width="10" style="45" customWidth="1"/>
    <col min="17" max="17" width="8.88671875" style="44"/>
    <col min="18" max="18" width="8.88671875" style="114" hidden="1" customWidth="1"/>
    <col min="19" max="19" width="8.664062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11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IF((IF(H2=1,3-L4,IF(H2=2,5-L4,IF(H2=3,7-L4,IF(H2=4,9-L4,IF(H2=5,18-L4,""))))))&gt;-1,(IF(H2=1,3-L4,IF(H2=2,5-L4,IF(H2=3,7-L4,IF(H2=4,9-L4,IF(H2=5,18-L4,"")))))),"!!!")</f>
        <v/>
      </c>
      <c r="M2" s="112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117" t="s">
        <v>196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SUM(O9:O26)</f>
        <v>0</v>
      </c>
      <c r="M4" s="112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92" t="s">
        <v>187</v>
      </c>
      <c r="K7" s="392"/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118" t="s">
        <v>28</v>
      </c>
      <c r="H8" s="114" t="s">
        <v>190</v>
      </c>
      <c r="I8" s="392"/>
      <c r="J8" s="118" t="s">
        <v>28</v>
      </c>
      <c r="K8" s="114" t="s">
        <v>190</v>
      </c>
      <c r="L8" s="392"/>
      <c r="M8" s="392"/>
      <c r="N8" s="391"/>
      <c r="O8" s="391"/>
    </row>
    <row r="9" spans="1:20" x14ac:dyDescent="0.3">
      <c r="A9" s="114">
        <v>1</v>
      </c>
      <c r="B9" s="36"/>
      <c r="C9" s="44" t="s">
        <v>269</v>
      </c>
      <c r="D9" s="56">
        <v>7</v>
      </c>
      <c r="E9" s="56">
        <v>7</v>
      </c>
      <c r="F9" s="56">
        <v>2</v>
      </c>
      <c r="G9" s="56">
        <v>3</v>
      </c>
      <c r="H9" s="56">
        <f>IF((H2&lt;F9),G9+(F9-H2)*2,G9)</f>
        <v>7</v>
      </c>
      <c r="I9" s="56">
        <v>9</v>
      </c>
      <c r="J9" s="56">
        <v>6</v>
      </c>
      <c r="K9" s="56">
        <f>MAX((IF(ROUNDDOWN((D4-4)/2,0)&gt;0,J9-ROUNDDOWN((D4-4)/2,0),J9)),1)</f>
        <v>6</v>
      </c>
      <c r="L9" s="56">
        <v>12</v>
      </c>
      <c r="M9" s="56">
        <v>3</v>
      </c>
      <c r="N9" s="61">
        <f>IF(I9&gt;D4,IF((100%+(D4-I9)*10%)&lt;10%,10%,100%+(D4-I9)*10%),100%+(D4-I9)*5%)</f>
        <v>9.9999999999999978E-2</v>
      </c>
      <c r="O9" s="58"/>
      <c r="R9" s="12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114">
        <v>2</v>
      </c>
      <c r="B10" s="36"/>
      <c r="C10" s="67" t="s">
        <v>278</v>
      </c>
      <c r="D10" s="56">
        <v>7</v>
      </c>
      <c r="E10" s="56">
        <v>9</v>
      </c>
      <c r="F10" s="56">
        <v>3</v>
      </c>
      <c r="G10" s="56">
        <v>6</v>
      </c>
      <c r="H10" s="56">
        <f>IF((H2&lt;F10),G10+(F10-H2)*2,G10)</f>
        <v>12</v>
      </c>
      <c r="I10" s="56">
        <v>10</v>
      </c>
      <c r="J10" s="56">
        <v>5</v>
      </c>
      <c r="K10" s="56">
        <f>MAX((IF(ROUNDDOWN((D4-4)/2,0)&gt;0,J10-ROUNDDOWN((D4-4)/2,0),J10)),1)</f>
        <v>5</v>
      </c>
      <c r="L10" s="56">
        <v>15</v>
      </c>
      <c r="M10" s="56">
        <v>3</v>
      </c>
      <c r="N10" s="61">
        <f>IF(I10&gt;D4,IF((50%+(D4-I10)*10%)&lt;10%,10%,50%+(D4-I10)*10%),50%+(D4-I10)*5%)</f>
        <v>0.1</v>
      </c>
      <c r="O10" s="58"/>
      <c r="R10" s="62"/>
      <c r="S10" s="54"/>
    </row>
    <row r="11" spans="1:20" x14ac:dyDescent="0.3">
      <c r="A11" s="114">
        <v>3</v>
      </c>
      <c r="B11" s="36"/>
      <c r="C11" s="44" t="s">
        <v>270</v>
      </c>
      <c r="D11" s="56">
        <v>1</v>
      </c>
      <c r="E11" s="56">
        <v>2</v>
      </c>
      <c r="F11" s="56">
        <v>1</v>
      </c>
      <c r="G11" s="56">
        <v>4</v>
      </c>
      <c r="H11" s="56">
        <f>IF((H2&lt;F11),G11+(F11-H2)*2,G11)</f>
        <v>6</v>
      </c>
      <c r="I11" s="56">
        <v>8</v>
      </c>
      <c r="J11" s="56">
        <v>7</v>
      </c>
      <c r="K11" s="56">
        <f>MAX((IF(ROUNDDOWN((D4-4)/2,0)&gt;0,J11-ROUNDDOWN((D4-4)/2,0),J11)),1)</f>
        <v>7</v>
      </c>
      <c r="L11" s="56">
        <v>3</v>
      </c>
      <c r="M11" s="56">
        <v>2</v>
      </c>
      <c r="N11" s="61">
        <f>IF(I11&gt;D4,IF((50%+(D4-I11)*10%)&lt;10%,10%,50%+(D4-I11)*10%),50%+(D4-I11)*5%)</f>
        <v>0.1</v>
      </c>
      <c r="O11" s="58"/>
      <c r="R11" s="12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114">
        <v>4</v>
      </c>
      <c r="B12" s="36"/>
      <c r="C12" s="44" t="s">
        <v>271</v>
      </c>
      <c r="D12" s="56">
        <v>10</v>
      </c>
      <c r="E12" s="56">
        <v>12</v>
      </c>
      <c r="F12" s="56">
        <v>3</v>
      </c>
      <c r="G12" s="56">
        <v>3</v>
      </c>
      <c r="H12" s="56">
        <f>IF((H2&lt;F12),G12+(F12-H2)*2,G12)</f>
        <v>9</v>
      </c>
      <c r="I12" s="56">
        <v>11</v>
      </c>
      <c r="J12" s="56"/>
      <c r="K12" s="56">
        <f>MAX((IF(ROUNDDOWN((D4-4)/2,0)&gt;0,J12-ROUNDDOWN((D4-4)/2,0),J12)),1)</f>
        <v>1</v>
      </c>
      <c r="L12" s="56" t="s">
        <v>287</v>
      </c>
      <c r="M12" s="56">
        <v>2</v>
      </c>
      <c r="N12" s="57">
        <f>IF(I12&gt;D4,(D4-I12)*10%,(D4-I12)*5%)</f>
        <v>-1.1000000000000001</v>
      </c>
      <c r="O12" s="58"/>
      <c r="R12" s="62"/>
      <c r="S12" s="54"/>
    </row>
    <row r="13" spans="1:20" x14ac:dyDescent="0.3">
      <c r="A13" s="114">
        <v>5</v>
      </c>
      <c r="B13" s="36"/>
      <c r="C13" s="44" t="s">
        <v>279</v>
      </c>
      <c r="D13" s="56">
        <v>10</v>
      </c>
      <c r="E13" s="56">
        <v>10</v>
      </c>
      <c r="F13" s="56">
        <v>3</v>
      </c>
      <c r="G13" s="56">
        <v>5</v>
      </c>
      <c r="H13" s="56">
        <f>IF((H2&lt;F13),G13+(F13-H2)*2,G13)</f>
        <v>11</v>
      </c>
      <c r="I13" s="56">
        <v>10</v>
      </c>
      <c r="J13" s="56">
        <v>6</v>
      </c>
      <c r="K13" s="56">
        <f>MAX((IF(ROUNDDOWN((D4-4)/2,0)&gt;0,J13-ROUNDDOWN((D4-4)/2,0),J13)),1)</f>
        <v>6</v>
      </c>
      <c r="L13" s="56">
        <v>15</v>
      </c>
      <c r="M13" s="56">
        <v>3</v>
      </c>
      <c r="N13" s="57">
        <f>IF(I13&gt;D4,(D4-I13)*10%,(D4-I13)*5%)</f>
        <v>-1</v>
      </c>
      <c r="O13" s="58"/>
      <c r="R13" s="12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114">
        <v>6</v>
      </c>
      <c r="B14" s="36"/>
      <c r="C14" s="44" t="s">
        <v>272</v>
      </c>
      <c r="D14" s="56">
        <v>4</v>
      </c>
      <c r="E14" s="56">
        <v>4</v>
      </c>
      <c r="F14" s="56">
        <v>1</v>
      </c>
      <c r="G14" s="56">
        <v>5</v>
      </c>
      <c r="H14" s="56">
        <f>IF((H2&lt;F14),G14+(F14-H2)*2,G14)</f>
        <v>7</v>
      </c>
      <c r="I14" s="56">
        <v>8</v>
      </c>
      <c r="J14" s="56">
        <v>8</v>
      </c>
      <c r="K14" s="56">
        <f>MAX((IF(ROUNDDOWN((D4-4)/2,0)&gt;0,J14-ROUNDDOWN((D4-4)/2,0),J14)),1)</f>
        <v>8</v>
      </c>
      <c r="L14" s="56">
        <v>15</v>
      </c>
      <c r="M14" s="56">
        <v>2</v>
      </c>
      <c r="N14" s="61">
        <f>IF(I14&gt;D4,IF((100%+(D4-I14)*10%)&lt;10%,10%,100%+(D4-I14)*10%),100%+(D4-I14)*5%)</f>
        <v>0.19999999999999996</v>
      </c>
      <c r="O14" s="58"/>
      <c r="R14" s="62"/>
      <c r="S14" s="54"/>
    </row>
    <row r="15" spans="1:20" x14ac:dyDescent="0.3">
      <c r="A15" s="114">
        <v>7</v>
      </c>
      <c r="B15" s="36"/>
      <c r="C15" s="44" t="s">
        <v>273</v>
      </c>
      <c r="D15" s="56">
        <v>1</v>
      </c>
      <c r="E15" s="56">
        <v>2</v>
      </c>
      <c r="F15" s="56">
        <v>1</v>
      </c>
      <c r="G15" s="56">
        <v>6</v>
      </c>
      <c r="H15" s="56">
        <f>IF((H2&lt;F15),G15+(F15-H2)*2,G15)</f>
        <v>8</v>
      </c>
      <c r="I15" s="56">
        <v>8</v>
      </c>
      <c r="J15" s="56">
        <v>3</v>
      </c>
      <c r="K15" s="56">
        <f>MAX((IF(ROUNDDOWN((D4-4)/2,0)&gt;0,J15-ROUNDDOWN((D4-4)/2,0),J15)),1)</f>
        <v>3</v>
      </c>
      <c r="L15" s="56">
        <v>15</v>
      </c>
      <c r="M15" s="56">
        <v>3</v>
      </c>
      <c r="N15" s="61">
        <f>IF(I15&gt;D4,IF((100%+(D4-I15)*10%)&lt;10%,10%,100%+(D4-I15)*10%),100%+(D4-I15)*5%)</f>
        <v>0.19999999999999996</v>
      </c>
      <c r="O15" s="58"/>
      <c r="R15" s="12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114">
        <v>8</v>
      </c>
      <c r="B16" s="36"/>
      <c r="C16" s="44" t="s">
        <v>280</v>
      </c>
      <c r="D16" s="56">
        <v>13</v>
      </c>
      <c r="E16" s="56">
        <v>13</v>
      </c>
      <c r="F16" s="56">
        <v>4</v>
      </c>
      <c r="G16" s="56">
        <v>6</v>
      </c>
      <c r="H16" s="56">
        <f>IF((H2&lt;F16),G16+(F16-H2)*2,G16)</f>
        <v>14</v>
      </c>
      <c r="I16" s="56">
        <v>11</v>
      </c>
      <c r="J16" s="56">
        <v>5</v>
      </c>
      <c r="K16" s="56">
        <f>MAX((IF(ROUNDDOWN((D4-4)/2,0)&gt;0,J16-ROUNDDOWN((D4-4)/2,0),J16)),1)</f>
        <v>5</v>
      </c>
      <c r="L16" s="56">
        <v>15</v>
      </c>
      <c r="M16" s="56">
        <v>3</v>
      </c>
      <c r="N16" s="61">
        <f>IF(I16&gt;D4,IF((100%+(D4-I16)*10%)&lt;10%,10%,100%+(D4-I16)*10%),100%+(D4-I16)*5%)</f>
        <v>0.1</v>
      </c>
      <c r="O16" s="58"/>
      <c r="R16" s="62"/>
      <c r="S16" s="54"/>
    </row>
    <row r="17" spans="1:19" x14ac:dyDescent="0.3">
      <c r="A17" s="114">
        <v>9</v>
      </c>
      <c r="B17" s="36"/>
      <c r="C17" s="44" t="s">
        <v>281</v>
      </c>
      <c r="D17" s="56">
        <v>1</v>
      </c>
      <c r="E17" s="56">
        <v>2</v>
      </c>
      <c r="F17" s="56">
        <v>1</v>
      </c>
      <c r="G17" s="56">
        <v>4</v>
      </c>
      <c r="H17" s="56">
        <f>IF((H2&lt;F17),G17+(F17-H2)*2,G17)</f>
        <v>6</v>
      </c>
      <c r="I17" s="56">
        <v>8</v>
      </c>
      <c r="J17" s="56">
        <v>5</v>
      </c>
      <c r="K17" s="56">
        <f>MAX((IF(ROUNDDOWN((D4-4)/2,0)&gt;0,J17-ROUNDDOWN((D4-4)/2,0),J17)),1)</f>
        <v>5</v>
      </c>
      <c r="L17" s="56">
        <v>5</v>
      </c>
      <c r="M17" s="56">
        <v>3</v>
      </c>
      <c r="N17" s="61">
        <f>IF(I17&gt;D4,IF((100%+(D4-I17)*10%)&lt;10%,10%,100%+(D4-I17)*10%),100%+(D4-I17)*5%)</f>
        <v>0.19999999999999996</v>
      </c>
      <c r="O17" s="58"/>
      <c r="R17" s="12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114">
        <v>10</v>
      </c>
      <c r="B18" s="36"/>
      <c r="C18" s="44" t="s">
        <v>282</v>
      </c>
      <c r="D18" s="56">
        <v>16</v>
      </c>
      <c r="E18" s="56">
        <v>16</v>
      </c>
      <c r="F18" s="56">
        <v>4</v>
      </c>
      <c r="G18" s="56">
        <v>9</v>
      </c>
      <c r="H18" s="56">
        <f>IF((H2&lt;F18),G18+(F18-H2)*2,G18)</f>
        <v>17</v>
      </c>
      <c r="I18" s="56">
        <v>12</v>
      </c>
      <c r="J18" s="56">
        <v>12</v>
      </c>
      <c r="K18" s="56">
        <f>MAX((IF(ROUNDDOWN((D4-4)/2,0)&gt;0,J18-ROUNDDOWN((D4-4)/2,0),J18)),1)</f>
        <v>12</v>
      </c>
      <c r="L18" s="56">
        <v>15</v>
      </c>
      <c r="M18" s="56">
        <v>2</v>
      </c>
      <c r="N18" s="61">
        <f>IF(I18&gt;D4,IF((70%+(D4-I18)*10%)&lt;10%,10%,70%+(D4-I18)*10%),70%+(D4-I18)*5%)</f>
        <v>0.1</v>
      </c>
      <c r="O18" s="58"/>
      <c r="R18" s="62"/>
      <c r="S18" s="54"/>
    </row>
    <row r="19" spans="1:19" x14ac:dyDescent="0.3">
      <c r="A19" s="114">
        <v>11</v>
      </c>
      <c r="B19" s="36"/>
      <c r="C19" s="44" t="s">
        <v>283</v>
      </c>
      <c r="D19" s="56">
        <v>20</v>
      </c>
      <c r="E19" s="56">
        <v>14</v>
      </c>
      <c r="F19" s="56">
        <v>4</v>
      </c>
      <c r="G19" s="56">
        <v>10</v>
      </c>
      <c r="H19" s="56">
        <f>IF((H2&lt;F19),G19+(F19-H2)*2,G19)</f>
        <v>18</v>
      </c>
      <c r="I19" s="56">
        <v>12</v>
      </c>
      <c r="J19" s="56">
        <v>100</v>
      </c>
      <c r="K19" s="56">
        <f>MAX((IF(ROUNDDOWN((D4-4)/2,0)&gt;0,J19-ROUNDDOWN((D4-4)/2,0),J19)),1)</f>
        <v>100</v>
      </c>
      <c r="L19" s="56" t="s">
        <v>289</v>
      </c>
      <c r="M19" s="56">
        <v>2</v>
      </c>
      <c r="N19" s="61">
        <f>IF(I19&gt;D4,IF((100%+(D4-I19)*10%)&lt;10%,10%,100%+(D4-I19)*10%),100%+(D4-I19)*5%)</f>
        <v>0.1</v>
      </c>
      <c r="O19" s="58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114">
        <v>12</v>
      </c>
      <c r="B20" s="36"/>
      <c r="C20" s="44" t="s">
        <v>284</v>
      </c>
      <c r="D20" s="56">
        <v>18</v>
      </c>
      <c r="E20" s="56">
        <v>19</v>
      </c>
      <c r="F20" s="56">
        <v>5</v>
      </c>
      <c r="G20" s="56">
        <v>9</v>
      </c>
      <c r="H20" s="56">
        <f>IF((H2&lt;F20),G20+(F20-H2)*2,G20)</f>
        <v>19</v>
      </c>
      <c r="I20" s="56">
        <v>13</v>
      </c>
      <c r="J20" s="56">
        <v>20</v>
      </c>
      <c r="K20" s="56">
        <f>MAX((IF(ROUNDDOWN((D4-4)/2,0)&gt;0,J20-ROUNDDOWN((D4-4)/2,0),J20)),1)</f>
        <v>20</v>
      </c>
      <c r="L20" s="56" t="s">
        <v>249</v>
      </c>
      <c r="M20" s="56">
        <v>2</v>
      </c>
      <c r="N20" s="61">
        <f>IF(I20&gt;D4,IF((100%+(D4-I20)*10%)&lt;10%,10%,100%+(D4-I20)*10%),100%+(D4-I20)*5%)</f>
        <v>0.1</v>
      </c>
      <c r="O20" s="58"/>
      <c r="R20" s="63"/>
      <c r="S20" s="63"/>
    </row>
    <row r="21" spans="1:19" x14ac:dyDescent="0.3">
      <c r="A21" s="114">
        <v>13</v>
      </c>
      <c r="B21" s="36"/>
      <c r="C21" s="44" t="s">
        <v>274</v>
      </c>
      <c r="D21" s="56">
        <v>10</v>
      </c>
      <c r="E21" s="56">
        <v>11</v>
      </c>
      <c r="F21" s="56">
        <v>3</v>
      </c>
      <c r="G21" s="56">
        <v>6</v>
      </c>
      <c r="H21" s="56">
        <f>IF((H2&lt;F21),G21+(F21-H2)*2,G21)</f>
        <v>12</v>
      </c>
      <c r="I21" s="56">
        <v>11</v>
      </c>
      <c r="J21" s="56">
        <v>7</v>
      </c>
      <c r="K21" s="56">
        <f>MAX((IF(ROUNDDOWN((D4-4)/2,0)&gt;0,J21-ROUNDDOWN((D4-4)/2,0),J21)),1)</f>
        <v>7</v>
      </c>
      <c r="L21" s="56">
        <v>15</v>
      </c>
      <c r="M21" s="56" t="s">
        <v>214</v>
      </c>
      <c r="N21" s="57">
        <f>IF(I21&gt;D4,(D4-I21)*10%,(D4-I21)*5%)</f>
        <v>-1.1000000000000001</v>
      </c>
      <c r="O21" s="58"/>
      <c r="R21" s="49" t="str">
        <f>IF(AND(D21&lt;=D2,H2&gt;0),1,"нельзя")</f>
        <v>нельзя</v>
      </c>
      <c r="S21" s="49" t="str">
        <f>IF(AND(D22&lt;=D2,H2&gt;0),1,"нельзя")</f>
        <v>нельзя</v>
      </c>
    </row>
    <row r="22" spans="1:19" x14ac:dyDescent="0.3">
      <c r="A22" s="114">
        <v>14</v>
      </c>
      <c r="B22" s="36"/>
      <c r="C22" s="44" t="s">
        <v>286</v>
      </c>
      <c r="D22" s="56">
        <v>7</v>
      </c>
      <c r="E22" s="56">
        <v>8</v>
      </c>
      <c r="F22" s="56">
        <v>2</v>
      </c>
      <c r="G22" s="56">
        <v>3</v>
      </c>
      <c r="H22" s="56">
        <f>IF((H2&lt;F22),G22+(F22-H2)*2,G22)</f>
        <v>7</v>
      </c>
      <c r="I22" s="56">
        <v>10</v>
      </c>
      <c r="J22" s="56">
        <v>4</v>
      </c>
      <c r="K22" s="56">
        <f>MAX((IF(ROUNDDOWN((D4-4)/2,0)&gt;0,J22-ROUNDDOWN((D4-4)/2,0),J22)),1)</f>
        <v>4</v>
      </c>
      <c r="L22" s="56" t="s">
        <v>194</v>
      </c>
      <c r="M22" s="56">
        <v>2</v>
      </c>
      <c r="N22" s="57">
        <f>IF(I22&gt;D4,(D4-I22)*10%,(D4-I22)*5%)</f>
        <v>-1</v>
      </c>
      <c r="O22" s="58"/>
      <c r="R22" s="63"/>
      <c r="S22" s="63"/>
    </row>
    <row r="23" spans="1:19" x14ac:dyDescent="0.3">
      <c r="A23" s="114">
        <v>15</v>
      </c>
      <c r="B23" s="36"/>
      <c r="C23" s="44" t="s">
        <v>275</v>
      </c>
      <c r="D23" s="56">
        <v>4</v>
      </c>
      <c r="E23" s="56">
        <v>5</v>
      </c>
      <c r="F23" s="56">
        <v>2</v>
      </c>
      <c r="G23" s="56">
        <v>7</v>
      </c>
      <c r="H23" s="56">
        <f>IF((H2&lt;F23),G23+(F23-H2)*2,G23)</f>
        <v>11</v>
      </c>
      <c r="I23" s="56">
        <v>9</v>
      </c>
      <c r="J23" s="56">
        <v>10</v>
      </c>
      <c r="K23" s="56">
        <f>MAX((IF(ROUNDDOWN((D4-4)/2,0)&gt;0,J23-ROUNDDOWN((D4-4)/2,0),J23)),1)</f>
        <v>10</v>
      </c>
      <c r="L23" s="56">
        <v>15</v>
      </c>
      <c r="M23" s="56">
        <v>2</v>
      </c>
      <c r="N23" s="61">
        <f>IF(I23&gt;D4,IF((35%+(D4-I23)*10%)&lt;10%,10%,35%+(D4-I23)*10%),35%+(D4-I23)*5%)</f>
        <v>0.1</v>
      </c>
      <c r="O23" s="58"/>
      <c r="R23" s="49" t="str">
        <f>IF(AND(D23&lt;=D2,H2&gt;0),1,"нельзя")</f>
        <v>нельзя</v>
      </c>
      <c r="S23" s="49" t="str">
        <f>IF(AND(D24&lt;=D2,H2&gt;0),1,"нельзя")</f>
        <v>нельзя</v>
      </c>
    </row>
    <row r="24" spans="1:19" x14ac:dyDescent="0.3">
      <c r="A24" s="114">
        <v>16</v>
      </c>
      <c r="B24" s="36"/>
      <c r="C24" s="44" t="s">
        <v>285</v>
      </c>
      <c r="D24" s="56">
        <v>7</v>
      </c>
      <c r="E24" s="56">
        <v>9</v>
      </c>
      <c r="F24" s="56">
        <v>3</v>
      </c>
      <c r="G24" s="56">
        <v>4</v>
      </c>
      <c r="H24" s="56">
        <f>IF((H2&lt;F24),G24+(F24-H2)*2,G24)</f>
        <v>10</v>
      </c>
      <c r="I24" s="56">
        <v>10</v>
      </c>
      <c r="J24" s="56">
        <v>8</v>
      </c>
      <c r="K24" s="56">
        <f>MAX((IF(ROUNDDOWN((D4-4)/2,0)&gt;0,J24-ROUNDDOWN((D4-4)/2,0),J24)),1)</f>
        <v>8</v>
      </c>
      <c r="L24" s="56">
        <v>15</v>
      </c>
      <c r="M24" s="56">
        <v>2</v>
      </c>
      <c r="N24" s="61">
        <f>IF(I24&gt;D4,IF((50%+(D4-I24)*10%)&lt;10%,10%,50%+(D4-I24)*10%),50%+(D4-I24)*5%)</f>
        <v>0.1</v>
      </c>
      <c r="O24" s="58"/>
      <c r="R24" s="63"/>
      <c r="S24" s="63"/>
    </row>
    <row r="25" spans="1:19" x14ac:dyDescent="0.3">
      <c r="A25" s="114">
        <v>17</v>
      </c>
      <c r="B25" s="36"/>
      <c r="C25" s="44" t="s">
        <v>276</v>
      </c>
      <c r="D25" s="56">
        <v>4</v>
      </c>
      <c r="E25" s="56">
        <v>6</v>
      </c>
      <c r="F25" s="56">
        <v>2</v>
      </c>
      <c r="G25" s="56">
        <v>7</v>
      </c>
      <c r="H25" s="56">
        <f>IF((H2&lt;F25),G25+(F25-H2)*2,G25)</f>
        <v>11</v>
      </c>
      <c r="I25" s="56">
        <v>9</v>
      </c>
      <c r="J25" s="56">
        <v>6</v>
      </c>
      <c r="K25" s="56">
        <f>MAX((IF(ROUNDDOWN((D4-4)/2,0)&gt;0,J25-ROUNDDOWN((D4-4)/2,0),J25)),1)</f>
        <v>6</v>
      </c>
      <c r="L25" s="56">
        <v>15</v>
      </c>
      <c r="M25" s="56">
        <v>5</v>
      </c>
      <c r="N25" s="57">
        <f>IF(I25&gt;D4,(D4-I25)*10%,(D4-I25)*5%)</f>
        <v>-0.9</v>
      </c>
      <c r="O25" s="58"/>
      <c r="R25" s="49" t="str">
        <f>IF(AND(D25&lt;=D2,H2&gt;0),1,"нельзя")</f>
        <v>нельзя</v>
      </c>
      <c r="S25" s="49" t="str">
        <f>IF(AND(D26&lt;=D2,H2&gt;0),1,"нельзя")</f>
        <v>нельзя</v>
      </c>
    </row>
    <row r="26" spans="1:19" x14ac:dyDescent="0.3">
      <c r="A26" s="114">
        <v>18</v>
      </c>
      <c r="B26" s="36"/>
      <c r="C26" s="44" t="s">
        <v>277</v>
      </c>
      <c r="D26" s="56">
        <v>1</v>
      </c>
      <c r="E26" s="56">
        <v>3</v>
      </c>
      <c r="F26" s="56">
        <v>1</v>
      </c>
      <c r="G26" s="56">
        <v>6</v>
      </c>
      <c r="H26" s="56">
        <f>IF((H2&lt;F26),G26+(F26-H2)*2,G26)</f>
        <v>8</v>
      </c>
      <c r="I26" s="56">
        <v>8</v>
      </c>
      <c r="J26" s="56">
        <v>9</v>
      </c>
      <c r="K26" s="56">
        <f>MAX((IF(ROUNDDOWN((D4-4)/2,0)&gt;0,J26-ROUNDDOWN((D4-4)/2,0),J26)),1)</f>
        <v>9</v>
      </c>
      <c r="L26" s="56">
        <v>12</v>
      </c>
      <c r="M26" s="56">
        <v>3</v>
      </c>
      <c r="N26" s="61">
        <f>IF(I26&gt;D4,IF((100%+(D4-I26)*10%)&lt;10%,10%,100%+(D4-I26)*10%),100%+(D4-I26)*5%)</f>
        <v>0.19999999999999996</v>
      </c>
      <c r="O26" s="58"/>
      <c r="R26" s="63"/>
      <c r="S26" s="63"/>
    </row>
    <row r="27" spans="1:19" x14ac:dyDescent="0.3">
      <c r="R27" s="44"/>
    </row>
    <row r="28" spans="1:19" x14ac:dyDescent="0.3">
      <c r="R28" s="44"/>
    </row>
    <row r="29" spans="1:19" x14ac:dyDescent="0.3">
      <c r="R29" s="112"/>
    </row>
  </sheetData>
  <sheetProtection sheet="1" objects="1" scenarios="1"/>
  <mergeCells count="17"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  <mergeCell ref="O7:O8"/>
    <mergeCell ref="G7:H7"/>
    <mergeCell ref="I7:I8"/>
    <mergeCell ref="J7:K7"/>
    <mergeCell ref="L7:L8"/>
    <mergeCell ref="M7:M8"/>
    <mergeCell ref="N7:N8"/>
  </mergeCells>
  <conditionalFormatting sqref="L2:M2">
    <cfRule type="containsText" dxfId="201" priority="63" operator="containsText" text="!!!">
      <formula>NOT(ISERROR(SEARCH("!!!",L2)))</formula>
    </cfRule>
  </conditionalFormatting>
  <conditionalFormatting sqref="I9:I26">
    <cfRule type="cellIs" dxfId="200" priority="62" operator="greaterThan">
      <formula>$D$4</formula>
    </cfRule>
  </conditionalFormatting>
  <conditionalFormatting sqref="F9:F26">
    <cfRule type="cellIs" dxfId="199" priority="61" operator="greaterThan">
      <formula>$H$2</formula>
    </cfRule>
  </conditionalFormatting>
  <conditionalFormatting sqref="C9">
    <cfRule type="expression" dxfId="198" priority="60">
      <formula>$D$9&gt;$D$2</formula>
    </cfRule>
  </conditionalFormatting>
  <conditionalFormatting sqref="C10">
    <cfRule type="expression" dxfId="197" priority="59">
      <formula>$D$10&gt;$D$2</formula>
    </cfRule>
  </conditionalFormatting>
  <conditionalFormatting sqref="C11">
    <cfRule type="expression" dxfId="196" priority="58">
      <formula>$D$11&gt;$D$2</formula>
    </cfRule>
  </conditionalFormatting>
  <conditionalFormatting sqref="C12">
    <cfRule type="expression" dxfId="195" priority="57">
      <formula>$D$12&gt;$D$2</formula>
    </cfRule>
  </conditionalFormatting>
  <conditionalFormatting sqref="C13">
    <cfRule type="expression" dxfId="194" priority="56">
      <formula>$D$13&gt;$D$2</formula>
    </cfRule>
  </conditionalFormatting>
  <conditionalFormatting sqref="C14">
    <cfRule type="expression" dxfId="193" priority="55">
      <formula>$D$14&gt;$D$2</formula>
    </cfRule>
  </conditionalFormatting>
  <conditionalFormatting sqref="C15">
    <cfRule type="expression" dxfId="192" priority="54">
      <formula>$D$15&gt;$D$2</formula>
    </cfRule>
  </conditionalFormatting>
  <conditionalFormatting sqref="C16">
    <cfRule type="expression" dxfId="191" priority="53">
      <formula>$D$16&gt;$D$2</formula>
    </cfRule>
  </conditionalFormatting>
  <conditionalFormatting sqref="C17">
    <cfRule type="expression" dxfId="190" priority="52">
      <formula>$D$17&gt;$D$2</formula>
    </cfRule>
  </conditionalFormatting>
  <conditionalFormatting sqref="C18">
    <cfRule type="expression" dxfId="189" priority="51">
      <formula>$D$18&gt;$D$2</formula>
    </cfRule>
  </conditionalFormatting>
  <conditionalFormatting sqref="C19">
    <cfRule type="expression" dxfId="188" priority="50">
      <formula>$D$19&gt;$D$2</formula>
    </cfRule>
  </conditionalFormatting>
  <conditionalFormatting sqref="C20">
    <cfRule type="expression" dxfId="187" priority="49">
      <formula>$D$20&gt;$D$2</formula>
    </cfRule>
  </conditionalFormatting>
  <conditionalFormatting sqref="C21">
    <cfRule type="expression" dxfId="186" priority="48">
      <formula>$D$21&gt;$D$2</formula>
    </cfRule>
  </conditionalFormatting>
  <conditionalFormatting sqref="C22">
    <cfRule type="expression" dxfId="185" priority="47">
      <formula>$D$22&gt;$D$2</formula>
    </cfRule>
  </conditionalFormatting>
  <conditionalFormatting sqref="C23">
    <cfRule type="expression" dxfId="184" priority="46">
      <formula>$D$23&gt;$D$2</formula>
    </cfRule>
  </conditionalFormatting>
  <conditionalFormatting sqref="C24">
    <cfRule type="expression" dxfId="183" priority="45">
      <formula>$D$24&gt;$D$2</formula>
    </cfRule>
  </conditionalFormatting>
  <conditionalFormatting sqref="C25">
    <cfRule type="expression" dxfId="182" priority="44">
      <formula>$D$25&gt;$D$2</formula>
    </cfRule>
  </conditionalFormatting>
  <conditionalFormatting sqref="C26">
    <cfRule type="expression" dxfId="181" priority="43">
      <formula>$D$26&gt;$D$2</formula>
    </cfRule>
  </conditionalFormatting>
  <conditionalFormatting sqref="D9:D26">
    <cfRule type="cellIs" dxfId="180" priority="41" operator="greaterThan">
      <formula>$D$2</formula>
    </cfRule>
  </conditionalFormatting>
  <conditionalFormatting sqref="H9">
    <cfRule type="cellIs" dxfId="179" priority="40" operator="greaterThan">
      <formula>$G$9</formula>
    </cfRule>
  </conditionalFormatting>
  <conditionalFormatting sqref="H10">
    <cfRule type="cellIs" dxfId="178" priority="39" operator="greaterThan">
      <formula>$G$10</formula>
    </cfRule>
  </conditionalFormatting>
  <conditionalFormatting sqref="H11">
    <cfRule type="cellIs" dxfId="177" priority="38" operator="greaterThan">
      <formula>$G$11</formula>
    </cfRule>
  </conditionalFormatting>
  <conditionalFormatting sqref="H12">
    <cfRule type="cellIs" dxfId="176" priority="37" operator="greaterThan">
      <formula>$G$12</formula>
    </cfRule>
  </conditionalFormatting>
  <conditionalFormatting sqref="H13">
    <cfRule type="cellIs" dxfId="175" priority="36" operator="greaterThan">
      <formula>$G$13</formula>
    </cfRule>
  </conditionalFormatting>
  <conditionalFormatting sqref="H14">
    <cfRule type="cellIs" dxfId="174" priority="35" operator="greaterThan">
      <formula>$G$14</formula>
    </cfRule>
  </conditionalFormatting>
  <conditionalFormatting sqref="H15">
    <cfRule type="cellIs" dxfId="173" priority="34" operator="greaterThan">
      <formula>$G$15</formula>
    </cfRule>
  </conditionalFormatting>
  <conditionalFormatting sqref="H16">
    <cfRule type="cellIs" dxfId="172" priority="33" operator="greaterThan">
      <formula>$G$16</formula>
    </cfRule>
  </conditionalFormatting>
  <conditionalFormatting sqref="H17">
    <cfRule type="cellIs" dxfId="171" priority="32" operator="greaterThan">
      <formula>$G$17</formula>
    </cfRule>
  </conditionalFormatting>
  <conditionalFormatting sqref="H18">
    <cfRule type="cellIs" dxfId="170" priority="31" operator="greaterThan">
      <formula>$G$18</formula>
    </cfRule>
  </conditionalFormatting>
  <conditionalFormatting sqref="H19">
    <cfRule type="cellIs" dxfId="169" priority="30" operator="greaterThan">
      <formula>$G$19</formula>
    </cfRule>
  </conditionalFormatting>
  <conditionalFormatting sqref="H20">
    <cfRule type="cellIs" dxfId="168" priority="29" operator="greaterThan">
      <formula>$G$20</formula>
    </cfRule>
  </conditionalFormatting>
  <conditionalFormatting sqref="H21">
    <cfRule type="cellIs" dxfId="167" priority="28" operator="greaterThan">
      <formula>$G$21</formula>
    </cfRule>
  </conditionalFormatting>
  <conditionalFormatting sqref="H22">
    <cfRule type="cellIs" dxfId="166" priority="27" operator="greaterThan">
      <formula>$G$22</formula>
    </cfRule>
  </conditionalFormatting>
  <conditionalFormatting sqref="H23">
    <cfRule type="cellIs" dxfId="165" priority="26" operator="greaterThan">
      <formula>$G$23</formula>
    </cfRule>
  </conditionalFormatting>
  <conditionalFormatting sqref="H24">
    <cfRule type="cellIs" dxfId="164" priority="25" operator="greaterThan">
      <formula>$G$24</formula>
    </cfRule>
  </conditionalFormatting>
  <conditionalFormatting sqref="H25">
    <cfRule type="cellIs" dxfId="163" priority="24" operator="greaterThan">
      <formula>$G$25</formula>
    </cfRule>
  </conditionalFormatting>
  <conditionalFormatting sqref="H26">
    <cfRule type="cellIs" dxfId="162" priority="23" operator="greaterThan">
      <formula>$G$26</formula>
    </cfRule>
  </conditionalFormatting>
  <conditionalFormatting sqref="O9">
    <cfRule type="expression" dxfId="161" priority="21">
      <formula>$D$9&gt;$D$2</formula>
    </cfRule>
  </conditionalFormatting>
  <conditionalFormatting sqref="O10">
    <cfRule type="expression" dxfId="160" priority="20">
      <formula>$D$10&gt;$D$2</formula>
    </cfRule>
  </conditionalFormatting>
  <conditionalFormatting sqref="O11">
    <cfRule type="expression" dxfId="159" priority="19">
      <formula>$D$11&gt;$D$2</formula>
    </cfRule>
  </conditionalFormatting>
  <conditionalFormatting sqref="O12">
    <cfRule type="expression" dxfId="158" priority="18">
      <formula>$D$12&gt;$D$2</formula>
    </cfRule>
  </conditionalFormatting>
  <conditionalFormatting sqref="O13">
    <cfRule type="expression" dxfId="157" priority="17">
      <formula>$D$13&gt;$D$2</formula>
    </cfRule>
  </conditionalFormatting>
  <conditionalFormatting sqref="O14">
    <cfRule type="expression" dxfId="156" priority="16">
      <formula>$D$14&gt;$D$2</formula>
    </cfRule>
  </conditionalFormatting>
  <conditionalFormatting sqref="O15">
    <cfRule type="expression" dxfId="155" priority="15">
      <formula>$D$15&gt;$D$2</formula>
    </cfRule>
  </conditionalFormatting>
  <conditionalFormatting sqref="O16">
    <cfRule type="expression" dxfId="154" priority="14">
      <formula>$D$16&gt;$D$2</formula>
    </cfRule>
  </conditionalFormatting>
  <conditionalFormatting sqref="O17">
    <cfRule type="expression" dxfId="153" priority="13">
      <formula>$D$17&gt;$D$2</formula>
    </cfRule>
  </conditionalFormatting>
  <conditionalFormatting sqref="O18">
    <cfRule type="expression" dxfId="152" priority="12">
      <formula>$D$18&gt;$D$2</formula>
    </cfRule>
  </conditionalFormatting>
  <conditionalFormatting sqref="O19">
    <cfRule type="expression" dxfId="151" priority="11">
      <formula>$D$19&gt;$D$2</formula>
    </cfRule>
  </conditionalFormatting>
  <conditionalFormatting sqref="O20">
    <cfRule type="expression" dxfId="150" priority="10">
      <formula>$D$20&gt;$D$2</formula>
    </cfRule>
  </conditionalFormatting>
  <conditionalFormatting sqref="O21">
    <cfRule type="expression" dxfId="149" priority="9">
      <formula>$D$21&gt;$D$2</formula>
    </cfRule>
  </conditionalFormatting>
  <conditionalFormatting sqref="O22">
    <cfRule type="expression" dxfId="148" priority="8">
      <formula>$D$22&gt;$D$2</formula>
    </cfRule>
  </conditionalFormatting>
  <conditionalFormatting sqref="O23">
    <cfRule type="expression" dxfId="147" priority="7">
      <formula>$D$23&gt;$D$2</formula>
    </cfRule>
  </conditionalFormatting>
  <conditionalFormatting sqref="O24">
    <cfRule type="expression" dxfId="146" priority="6">
      <formula>$D$24&gt;$D$2</formula>
    </cfRule>
  </conditionalFormatting>
  <conditionalFormatting sqref="O25">
    <cfRule type="expression" dxfId="145" priority="5">
      <formula>$D$25&gt;$D$2</formula>
    </cfRule>
  </conditionalFormatting>
  <conditionalFormatting sqref="O26">
    <cfRule type="expression" dxfId="144" priority="4">
      <formula>$D$26&gt;$D$2</formula>
    </cfRule>
  </conditionalFormatting>
  <conditionalFormatting sqref="N9:N11 N14:N20 N23:N24 N26">
    <cfRule type="cellIs" dxfId="143" priority="2" operator="lessThan">
      <formula>1</formula>
    </cfRule>
  </conditionalFormatting>
  <conditionalFormatting sqref="O9:O26">
    <cfRule type="expression" dxfId="142" priority="1">
      <formula>$H$2&lt;1</formula>
    </cfRule>
  </conditionalFormatting>
  <dataValidations xWindow="32" yWindow="255" count="37">
    <dataValidation allowBlank="1" showInputMessage="1" showErrorMessage="1" prompt="временное повышение восприятия цели" sqref="C9"/>
    <dataValidation allowBlank="1" showInputMessage="1" showErrorMessage="1" prompt="бросок 2 сгустков магического огня, наносящих урон от стихии огня; может поджечь" sqref="C10"/>
    <dataValidation allowBlank="1" showInputMessage="1" showErrorMessage="1" prompt="поджигание цели, находящейся неподалеку; урон от стихии огня" sqref="C11"/>
    <dataValidation allowBlank="1" showInputMessage="1" showErrorMessage="1" prompt="нанесение урона от стихии огня себе и всем, находящимся в радиусе 6м;_x000a_воспламенение земли" sqref="C12"/>
    <dataValidation allowBlank="1" showInputMessage="1" showErrorMessage="1" prompt="наложение огненного щита на себя или союзника (невосприимчивость к горению)" sqref="C13"/>
    <dataValidation allowBlank="1" showInputMessage="1" showErrorMessage="1" prompt="создание огненной поверхности; может поджечь" sqref="C14"/>
    <dataValidation allowBlank="1" showInputMessage="1" showErrorMessage="1" prompt="бросок волшебного сгустка жара, наносящего урон от стихии огня;_x000a_может нагреть" sqref="C15"/>
    <dataValidation allowBlank="1" showInputMessage="1" showErrorMessage="1" prompt="мгновенное воспламенение цели; урон от стихии огня; может поджечь" sqref="C16"/>
    <dataValidation allowBlank="1" showInputMessage="1" showErrorMessage="1" prompt="цель становится невосприимчивой к заморозке_x000a_(цель остается уязвимой для стихии воды и может охлаждаться)" sqref="C17"/>
    <dataValidation allowBlank="1" showInputMessage="1" showErrorMessage="1" prompt="сгусток волшебного пламени, который разделяется при ударе и наносит урон от стихии огня каждой цели; может поджечь" sqref="C18"/>
    <dataValidation allowBlank="1" showInputMessage="1" showErrorMessage="1" prompt="создание лавы" sqref="C19"/>
    <dataValidation allowBlank="1" showInputMessage="1" showErrorMessage="1" prompt="низвержение с неба 8 огненных шаров, каждый из которых наносит урон от стихии огня; может поджечь" sqref="C20"/>
    <dataValidation allowBlank="1" showInputMessage="1" showErrorMessage="1" prompt="нейтрализует горение, заморозку, оглушение, очарование, окаменение, лечение и щиты" sqref="C21"/>
    <dataValidation allowBlank="1" showInputMessage="1" showErrorMessage="1" prompt="создание огненной поверхности вокруг вас (в том числе, под вами)" sqref="C22"/>
    <dataValidation allowBlank="1" showInputMessage="1" showErrorMessage="1" prompt="бросок взрывающегося огненного шара, который наносит урон от стихии огня; может поджечь" sqref="C23"/>
    <dataValidation allowBlank="1" showInputMessage="1" showErrorMessage="1" prompt="создает дымовую завесу" sqref="C24"/>
    <dataValidation allowBlank="1" showInputMessage="1" showErrorMessage="1" prompt="вызов элементаля огня который будет сражаться на вашей стороне (может сбить с ног, поджечь, нагреть, защита от огня +200%, воды -50%, рубящего урона -25%; после смерти остается горящая поверхность)" sqref="C25"/>
    <dataValidation allowBlank="1" showInputMessage="1" showErrorMessage="1" prompt="ускорение цели" sqref="C26"/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type="list" allowBlank="1" showInputMessage="1" showErrorMessage="1" sqref="O22">
      <formula1>$S$21:$S$22</formula1>
    </dataValidation>
    <dataValidation type="list" allowBlank="1" showInputMessage="1" showErrorMessage="1" sqref="O23">
      <formula1>$R$23:$R$24</formula1>
    </dataValidation>
    <dataValidation type="list" allowBlank="1" showInputMessage="1" showErrorMessage="1" sqref="O24">
      <formula1>$S$23:$S$24</formula1>
    </dataValidation>
    <dataValidation type="list" allowBlank="1" showInputMessage="1" showErrorMessage="1" sqref="O25">
      <formula1>$R$25:$R$26</formula1>
    </dataValidation>
    <dataValidation type="list" allowBlank="1" showInputMessage="1" showErrorMessage="1" sqref="O26">
      <formula1>$S$25:$S$26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4.4" x14ac:dyDescent="0.3"/>
  <cols>
    <col min="1" max="1" width="3.88671875" style="44" customWidth="1"/>
    <col min="2" max="2" width="2.6640625" style="1" customWidth="1"/>
    <col min="3" max="3" width="38.77734375" style="44" customWidth="1"/>
    <col min="4" max="14" width="10" style="44" customWidth="1"/>
    <col min="15" max="15" width="10" style="114" customWidth="1"/>
    <col min="16" max="16" width="10" style="45" customWidth="1"/>
    <col min="17" max="17" width="8.88671875" style="44" customWidth="1"/>
    <col min="18" max="18" width="8.6640625" style="114" hidden="1" customWidth="1"/>
    <col min="19" max="19" width="8.77734375" style="44" hidden="1" customWidth="1"/>
    <col min="20" max="16384" width="8.88671875" style="44"/>
  </cols>
  <sheetData>
    <row r="1" spans="1:20" ht="14.4" customHeight="1" thickBot="1" x14ac:dyDescent="0.35"/>
    <row r="2" spans="1:20" ht="14.4" customHeight="1" thickTop="1" thickBot="1" x14ac:dyDescent="0.35">
      <c r="C2" s="116" t="s">
        <v>195</v>
      </c>
      <c r="D2" s="47"/>
      <c r="F2" s="389" t="s">
        <v>197</v>
      </c>
      <c r="G2" s="390"/>
      <c r="H2" s="35"/>
      <c r="J2" s="396" t="s">
        <v>199</v>
      </c>
      <c r="K2" s="390"/>
      <c r="L2" s="48" t="str">
        <f>IF((IF(H2=1,3-L4,IF(H2=2,5-L4,IF(H2=3,7-L4,IF(H2=4,9-L4,IF(H2=5,13-L4,""))))))&gt;-1,(IF(H2=1,3-L4,IF(H2=2,5-L4,IF(H2=3,7-L4,IF(H2=4,9-L4,IF(H2=5,13-L4,"")))))),"!!!")</f>
        <v/>
      </c>
      <c r="M2" s="112"/>
      <c r="R2" s="49">
        <v>1</v>
      </c>
    </row>
    <row r="3" spans="1:20" ht="14.4" customHeight="1" thickTop="1" thickBot="1" x14ac:dyDescent="0.35">
      <c r="C3" s="50"/>
      <c r="R3" s="51">
        <v>2</v>
      </c>
    </row>
    <row r="4" spans="1:20" ht="14.4" customHeight="1" thickTop="1" thickBot="1" x14ac:dyDescent="0.35">
      <c r="C4" s="117" t="s">
        <v>333</v>
      </c>
      <c r="D4" s="35"/>
      <c r="F4" s="394" t="s">
        <v>198</v>
      </c>
      <c r="G4" s="395"/>
      <c r="H4" s="53" t="str">
        <f>IF(H2=1,1,IF(H2=2,3,IF(H2=3,6,IF(H2=4,10,IF(H2=5,15,"")))))</f>
        <v/>
      </c>
      <c r="J4" s="394" t="s">
        <v>200</v>
      </c>
      <c r="K4" s="395"/>
      <c r="L4" s="312">
        <f>SUM(O9:O21)</f>
        <v>0</v>
      </c>
      <c r="M4" s="112"/>
      <c r="R4" s="51">
        <v>3</v>
      </c>
    </row>
    <row r="5" spans="1:20" ht="14.4" customHeight="1" thickTop="1" x14ac:dyDescent="0.3">
      <c r="R5" s="51">
        <v>4</v>
      </c>
    </row>
    <row r="6" spans="1:20" ht="14.4" customHeight="1" x14ac:dyDescent="0.3">
      <c r="R6" s="51">
        <v>5</v>
      </c>
    </row>
    <row r="7" spans="1:20" ht="14.4" customHeight="1" x14ac:dyDescent="0.3">
      <c r="A7" s="391" t="s">
        <v>186</v>
      </c>
      <c r="B7" s="314"/>
      <c r="C7" s="393" t="s">
        <v>181</v>
      </c>
      <c r="D7" s="391" t="s">
        <v>182</v>
      </c>
      <c r="E7" s="391" t="s">
        <v>183</v>
      </c>
      <c r="F7" s="391" t="s">
        <v>191</v>
      </c>
      <c r="G7" s="391" t="s">
        <v>189</v>
      </c>
      <c r="H7" s="391"/>
      <c r="I7" s="392" t="s">
        <v>184</v>
      </c>
      <c r="J7" s="374" t="s">
        <v>187</v>
      </c>
      <c r="K7" s="397" t="s">
        <v>336</v>
      </c>
      <c r="L7" s="392" t="s">
        <v>188</v>
      </c>
      <c r="M7" s="391" t="s">
        <v>193</v>
      </c>
      <c r="N7" s="391" t="s">
        <v>185</v>
      </c>
      <c r="O7" s="391" t="s">
        <v>192</v>
      </c>
      <c r="R7" s="54"/>
    </row>
    <row r="8" spans="1:20" ht="14.4" customHeight="1" x14ac:dyDescent="0.3">
      <c r="A8" s="391"/>
      <c r="B8" s="369"/>
      <c r="C8" s="393"/>
      <c r="D8" s="391"/>
      <c r="E8" s="391"/>
      <c r="F8" s="391"/>
      <c r="G8" s="118" t="s">
        <v>28</v>
      </c>
      <c r="H8" s="114" t="s">
        <v>190</v>
      </c>
      <c r="I8" s="392"/>
      <c r="J8" s="374"/>
      <c r="K8" s="374"/>
      <c r="L8" s="392"/>
      <c r="M8" s="392"/>
      <c r="N8" s="391"/>
      <c r="O8" s="391"/>
    </row>
    <row r="9" spans="1:20" x14ac:dyDescent="0.3">
      <c r="A9" s="114">
        <v>1</v>
      </c>
      <c r="B9" s="36"/>
      <c r="C9" s="44" t="s">
        <v>337</v>
      </c>
      <c r="D9" s="56">
        <v>4</v>
      </c>
      <c r="E9" s="56">
        <v>6</v>
      </c>
      <c r="F9" s="56">
        <v>2</v>
      </c>
      <c r="G9" s="56">
        <v>6</v>
      </c>
      <c r="H9" s="56">
        <f>IF((H2&lt;F9),G9+(F9-H2)*2,G9)</f>
        <v>10</v>
      </c>
      <c r="I9" s="56">
        <v>9</v>
      </c>
      <c r="J9" s="56">
        <v>16</v>
      </c>
      <c r="K9" s="56" t="s">
        <v>214</v>
      </c>
      <c r="L9" s="56">
        <v>3</v>
      </c>
      <c r="M9" s="56">
        <v>3</v>
      </c>
      <c r="N9" s="64">
        <f>IF(I9&gt;D4,IF((100%+(D4-I9)*10%)&lt;10%,10%,100%+(D4-I9)*10%),100%+(D4-I9)*5%)</f>
        <v>9.9999999999999978E-2</v>
      </c>
      <c r="O9" s="65"/>
      <c r="R9" s="129" t="str">
        <f>IF(AND(D9&lt;=D2,H2&gt;0),1,"нельзя")</f>
        <v>нельзя</v>
      </c>
      <c r="S9" s="49" t="str">
        <f>IF(AND(D10&lt;=D2,H2&gt;0),1,"нельзя")</f>
        <v>нельзя</v>
      </c>
      <c r="T9" s="60"/>
    </row>
    <row r="10" spans="1:20" x14ac:dyDescent="0.3">
      <c r="A10" s="114">
        <v>2</v>
      </c>
      <c r="B10" s="36"/>
      <c r="C10" s="44" t="s">
        <v>338</v>
      </c>
      <c r="D10" s="56">
        <v>10</v>
      </c>
      <c r="E10" s="56">
        <v>2</v>
      </c>
      <c r="F10" s="56">
        <v>1</v>
      </c>
      <c r="G10" s="56">
        <v>6</v>
      </c>
      <c r="H10" s="56">
        <f>IF((H2&lt;F10),G10+(F10-H2)*2,G10)</f>
        <v>8</v>
      </c>
      <c r="I10" s="56">
        <v>8</v>
      </c>
      <c r="J10" s="56">
        <v>10</v>
      </c>
      <c r="K10" s="56" t="s">
        <v>214</v>
      </c>
      <c r="L10" s="56" t="s">
        <v>569</v>
      </c>
      <c r="M10" s="56">
        <v>4</v>
      </c>
      <c r="N10" s="57">
        <f>IF(I10&gt;D4,(D4-I10)*10%,(D4-I10)*5%)</f>
        <v>-0.8</v>
      </c>
      <c r="O10" s="65"/>
      <c r="R10" s="62"/>
      <c r="S10" s="54"/>
    </row>
    <row r="11" spans="1:20" x14ac:dyDescent="0.3">
      <c r="A11" s="114">
        <v>3</v>
      </c>
      <c r="B11" s="36"/>
      <c r="C11" s="44" t="s">
        <v>339</v>
      </c>
      <c r="D11" s="56">
        <v>10</v>
      </c>
      <c r="E11" s="56">
        <v>11</v>
      </c>
      <c r="F11" s="56">
        <v>3</v>
      </c>
      <c r="G11" s="56">
        <v>6</v>
      </c>
      <c r="H11" s="56">
        <f>IF((H2&lt;F11),G11+(F11-H2)*2,G11)</f>
        <v>12</v>
      </c>
      <c r="I11" s="56">
        <v>11</v>
      </c>
      <c r="J11" s="56">
        <v>12</v>
      </c>
      <c r="K11" s="56" t="s">
        <v>316</v>
      </c>
      <c r="L11" s="56">
        <v>2.4</v>
      </c>
      <c r="M11" s="56" t="s">
        <v>214</v>
      </c>
      <c r="N11" s="57">
        <f>IF(I11&gt;D4,(D4-I11)*10%,(D4-I11)*5%)</f>
        <v>-1.1000000000000001</v>
      </c>
      <c r="O11" s="65"/>
      <c r="R11" s="129" t="str">
        <f>IF(AND(D11&lt;=D2,H2&gt;0),1,"нельзя")</f>
        <v>нельзя</v>
      </c>
      <c r="S11" s="49" t="str">
        <f>IF(AND(D12&lt;=D2,H2&gt;0),1,"нельзя")</f>
        <v>нельзя</v>
      </c>
    </row>
    <row r="12" spans="1:20" x14ac:dyDescent="0.3">
      <c r="A12" s="114">
        <v>4</v>
      </c>
      <c r="B12" s="36"/>
      <c r="C12" s="44" t="s">
        <v>348</v>
      </c>
      <c r="D12" s="56">
        <v>7</v>
      </c>
      <c r="E12" s="56">
        <v>7</v>
      </c>
      <c r="F12" s="56">
        <v>2</v>
      </c>
      <c r="G12" s="56">
        <v>4</v>
      </c>
      <c r="H12" s="56">
        <f>IF((H2&lt;F12),G12+(F12-H2)*2,G12)</f>
        <v>8</v>
      </c>
      <c r="I12" s="56">
        <v>9</v>
      </c>
      <c r="J12" s="56">
        <v>10</v>
      </c>
      <c r="K12" s="56" t="s">
        <v>316</v>
      </c>
      <c r="L12" s="56">
        <v>2.4</v>
      </c>
      <c r="M12" s="56">
        <v>3</v>
      </c>
      <c r="N12" s="64">
        <f>IF(I12&gt;D4,IF((100%+(D4-I12)*10%)&lt;10%,10%,100%+(D4-I12)*10%),100%+(D4-I12)*5%)</f>
        <v>9.9999999999999978E-2</v>
      </c>
      <c r="O12" s="65"/>
      <c r="R12" s="62"/>
      <c r="S12" s="54"/>
    </row>
    <row r="13" spans="1:20" x14ac:dyDescent="0.3">
      <c r="A13" s="114">
        <v>5</v>
      </c>
      <c r="B13" s="36"/>
      <c r="C13" s="44" t="s">
        <v>340</v>
      </c>
      <c r="D13" s="56">
        <v>1</v>
      </c>
      <c r="E13" s="56">
        <v>2</v>
      </c>
      <c r="F13" s="56">
        <v>1</v>
      </c>
      <c r="G13" s="56">
        <v>4</v>
      </c>
      <c r="H13" s="56">
        <f>IF((H2&lt;F13),G13+(F13-H2)*2,G13)</f>
        <v>6</v>
      </c>
      <c r="I13" s="56">
        <v>8</v>
      </c>
      <c r="J13" s="56">
        <v>18</v>
      </c>
      <c r="K13" s="56" t="s">
        <v>214</v>
      </c>
      <c r="L13" s="56" t="s">
        <v>194</v>
      </c>
      <c r="M13" s="56">
        <v>2</v>
      </c>
      <c r="N13" s="64">
        <f>IF(I13&gt;D4,IF((100%+(D4-I13)*10%)&lt;10%,10%,100%+(D4-I13)*10%),100%+(D4-I13)*5%)</f>
        <v>0.19999999999999996</v>
      </c>
      <c r="O13" s="65"/>
      <c r="R13" s="129" t="str">
        <f>IF(AND(D13&lt;=D2,H2&gt;0),1,"нельзя")</f>
        <v>нельзя</v>
      </c>
      <c r="S13" s="49" t="str">
        <f>IF(AND(D14&lt;=D2,H2&gt;0),1,"нельзя")</f>
        <v>нельзя</v>
      </c>
    </row>
    <row r="14" spans="1:20" x14ac:dyDescent="0.3">
      <c r="A14" s="114">
        <v>6</v>
      </c>
      <c r="B14" s="36"/>
      <c r="C14" s="44" t="s">
        <v>341</v>
      </c>
      <c r="D14" s="56">
        <v>1</v>
      </c>
      <c r="E14" s="56">
        <v>3</v>
      </c>
      <c r="F14" s="56">
        <v>1</v>
      </c>
      <c r="G14" s="56">
        <v>5</v>
      </c>
      <c r="H14" s="56">
        <f>IF((H2&lt;F14),G14+(F14-H2)*2,G14)</f>
        <v>7</v>
      </c>
      <c r="I14" s="56">
        <v>8</v>
      </c>
      <c r="J14" s="56">
        <v>12</v>
      </c>
      <c r="K14" s="56" t="s">
        <v>316</v>
      </c>
      <c r="L14" s="56">
        <v>2.4</v>
      </c>
      <c r="M14" s="56">
        <v>3</v>
      </c>
      <c r="N14" s="64">
        <f>IF(I14&gt;D4,IF((100%+(D4-I14)*10%)&lt;10%,10%,100%+(D4-I14)*10%),100%+(D4-I14)*5%)</f>
        <v>0.19999999999999996</v>
      </c>
      <c r="O14" s="65"/>
      <c r="R14" s="62"/>
      <c r="S14" s="54"/>
    </row>
    <row r="15" spans="1:20" x14ac:dyDescent="0.3">
      <c r="A15" s="114">
        <v>7</v>
      </c>
      <c r="B15" s="36"/>
      <c r="C15" s="44" t="s">
        <v>342</v>
      </c>
      <c r="D15" s="56">
        <v>7</v>
      </c>
      <c r="E15" s="56">
        <v>9</v>
      </c>
      <c r="F15" s="56">
        <v>3</v>
      </c>
      <c r="G15" s="56">
        <v>5</v>
      </c>
      <c r="H15" s="56">
        <f>IF((H2&lt;F15),G15+(F15-H2)*2,G15)</f>
        <v>11</v>
      </c>
      <c r="I15" s="56">
        <v>10</v>
      </c>
      <c r="J15" s="56">
        <v>8</v>
      </c>
      <c r="K15" s="56" t="s">
        <v>316</v>
      </c>
      <c r="L15" s="56">
        <v>2.4</v>
      </c>
      <c r="M15" s="56">
        <v>3</v>
      </c>
      <c r="N15" s="64">
        <f>IF(I15&gt;D4,IF((100%+(D4-I15)*10%)&lt;10%,10%,100%+(D4-I15)*10%),100%+(D4-I15)*5%)</f>
        <v>0.1</v>
      </c>
      <c r="O15" s="65"/>
      <c r="R15" s="129" t="str">
        <f>IF(AND(D15&lt;=D2,H2&gt;0),1,"нельзя")</f>
        <v>нельзя</v>
      </c>
      <c r="S15" s="49" t="str">
        <f>IF(AND(D16&lt;=D2,H2&gt;0),1,"нельзя")</f>
        <v>нельзя</v>
      </c>
    </row>
    <row r="16" spans="1:20" x14ac:dyDescent="0.3">
      <c r="A16" s="114">
        <v>8</v>
      </c>
      <c r="B16" s="36"/>
      <c r="C16" s="44" t="s">
        <v>343</v>
      </c>
      <c r="D16" s="56">
        <v>1</v>
      </c>
      <c r="E16" s="56">
        <v>2</v>
      </c>
      <c r="F16" s="56">
        <v>1</v>
      </c>
      <c r="G16" s="56">
        <v>4</v>
      </c>
      <c r="H16" s="56">
        <f>IF((H2&lt;F16),G16+(F16-H2)*2,G16)</f>
        <v>6</v>
      </c>
      <c r="I16" s="56">
        <v>8</v>
      </c>
      <c r="J16" s="56">
        <v>12</v>
      </c>
      <c r="K16" s="56" t="s">
        <v>316</v>
      </c>
      <c r="L16" s="56">
        <v>2.4</v>
      </c>
      <c r="M16" s="56">
        <v>2</v>
      </c>
      <c r="N16" s="64">
        <f>IF(I16&gt;D4,IF((100%+(D4-I16)*10%)&lt;10%,10%,100%+(D4-I16)*10%),100%+(D4-I16)*5%)</f>
        <v>0.19999999999999996</v>
      </c>
      <c r="O16" s="65"/>
      <c r="R16" s="62"/>
      <c r="S16" s="54"/>
    </row>
    <row r="17" spans="1:19" x14ac:dyDescent="0.3">
      <c r="A17" s="114">
        <v>9</v>
      </c>
      <c r="B17" s="36"/>
      <c r="C17" s="44" t="s">
        <v>344</v>
      </c>
      <c r="D17" s="56">
        <v>7</v>
      </c>
      <c r="E17" s="56">
        <v>8</v>
      </c>
      <c r="F17" s="56">
        <v>2</v>
      </c>
      <c r="G17" s="56">
        <v>6</v>
      </c>
      <c r="H17" s="56">
        <f>IF((H2&lt;F17),G17+(F17-H2)*2,G17)</f>
        <v>10</v>
      </c>
      <c r="I17" s="56">
        <v>10</v>
      </c>
      <c r="J17" s="56">
        <v>12</v>
      </c>
      <c r="K17" s="56" t="s">
        <v>214</v>
      </c>
      <c r="L17" s="56" t="s">
        <v>194</v>
      </c>
      <c r="M17" s="56" t="s">
        <v>214</v>
      </c>
      <c r="N17" s="57">
        <f>IF(I17&gt;D4,(D4-I17)*10%,(D4-I17)*5%)</f>
        <v>-1</v>
      </c>
      <c r="O17" s="65"/>
      <c r="R17" s="129" t="str">
        <f>IF(AND(D17&lt;=D2,H2&gt;0),1,"нельзя")</f>
        <v>нельзя</v>
      </c>
      <c r="S17" s="49" t="str">
        <f>IF(AND(D18&lt;=D2,H2&gt;0),1,"нельзя")</f>
        <v>нельзя</v>
      </c>
    </row>
    <row r="18" spans="1:19" x14ac:dyDescent="0.3">
      <c r="A18" s="114">
        <v>10</v>
      </c>
      <c r="B18" s="36"/>
      <c r="C18" s="44" t="s">
        <v>349</v>
      </c>
      <c r="D18" s="56">
        <v>4</v>
      </c>
      <c r="E18" s="56">
        <v>4</v>
      </c>
      <c r="F18" s="56">
        <v>1</v>
      </c>
      <c r="G18" s="56">
        <v>4</v>
      </c>
      <c r="H18" s="56">
        <f>IF((H2&lt;F18),G18+(F18-H2)*2,G18)</f>
        <v>6</v>
      </c>
      <c r="I18" s="56">
        <v>8</v>
      </c>
      <c r="J18" s="56">
        <v>10</v>
      </c>
      <c r="K18" s="56" t="s">
        <v>214</v>
      </c>
      <c r="L18" s="56">
        <v>3</v>
      </c>
      <c r="M18" s="56">
        <v>2</v>
      </c>
      <c r="N18" s="64">
        <f>IF(I18&gt;D4,IF((100%+(D4-I18)*10%)&lt;10%,10%,100%+(D4-I18)*10%),100%+(D4-I18)*5%)</f>
        <v>0.19999999999999996</v>
      </c>
      <c r="O18" s="65"/>
      <c r="R18" s="62"/>
      <c r="S18" s="54"/>
    </row>
    <row r="19" spans="1:19" x14ac:dyDescent="0.3">
      <c r="A19" s="114">
        <v>11</v>
      </c>
      <c r="B19" s="36"/>
      <c r="C19" s="44" t="s">
        <v>345</v>
      </c>
      <c r="D19" s="56">
        <v>4</v>
      </c>
      <c r="E19" s="56">
        <v>5</v>
      </c>
      <c r="F19" s="56">
        <v>2</v>
      </c>
      <c r="G19" s="56">
        <v>5</v>
      </c>
      <c r="H19" s="56">
        <f>IF((H2&lt;F19),G19+(F19-H2)*2,G19)</f>
        <v>9</v>
      </c>
      <c r="I19" s="56">
        <v>9</v>
      </c>
      <c r="J19" s="56">
        <v>2</v>
      </c>
      <c r="K19" s="56" t="s">
        <v>316</v>
      </c>
      <c r="L19" s="56">
        <v>2.4</v>
      </c>
      <c r="M19" s="56"/>
      <c r="N19" s="64">
        <f>IF(I19&gt;D4,IF((100%+(D4-I19)*10%)&lt;10%,10%,100%+(D4-I19)*10%),100%+(D4-I19)*5%)</f>
        <v>9.9999999999999978E-2</v>
      </c>
      <c r="O19" s="65"/>
      <c r="R19" s="49" t="str">
        <f>IF(AND(D19&lt;=D2,H2&gt;0),1,"нельзя")</f>
        <v>нельзя</v>
      </c>
      <c r="S19" s="49" t="str">
        <f>IF(AND(D20&lt;=D2,H2&gt;0),1,"нельзя")</f>
        <v>нельзя</v>
      </c>
    </row>
    <row r="20" spans="1:19" x14ac:dyDescent="0.3">
      <c r="A20" s="114">
        <v>12</v>
      </c>
      <c r="B20" s="36"/>
      <c r="C20" s="44" t="s">
        <v>346</v>
      </c>
      <c r="D20" s="56">
        <v>1</v>
      </c>
      <c r="E20" s="56">
        <v>2</v>
      </c>
      <c r="F20" s="56">
        <v>1</v>
      </c>
      <c r="G20" s="56">
        <v>3</v>
      </c>
      <c r="H20" s="56">
        <f>IF((H2&lt;F20),G20+(F20-H2)*2,G20)</f>
        <v>5</v>
      </c>
      <c r="I20" s="56">
        <v>8</v>
      </c>
      <c r="J20" s="56">
        <v>10</v>
      </c>
      <c r="K20" s="56" t="s">
        <v>214</v>
      </c>
      <c r="L20" s="56" t="s">
        <v>194</v>
      </c>
      <c r="M20" s="56">
        <v>5</v>
      </c>
      <c r="N20" s="64">
        <f>IF(I20&gt;D4,IF((100%+(D4-I20)*10%)&lt;10%,10%,100%+(D4-I20)*10%),100%+(D4-I20)*5%)</f>
        <v>0.19999999999999996</v>
      </c>
      <c r="O20" s="65"/>
      <c r="R20" s="63"/>
      <c r="S20" s="63"/>
    </row>
    <row r="21" spans="1:19" x14ac:dyDescent="0.3">
      <c r="A21" s="114">
        <v>13</v>
      </c>
      <c r="B21" s="36"/>
      <c r="C21" s="44" t="s">
        <v>347</v>
      </c>
      <c r="D21" s="56">
        <v>13</v>
      </c>
      <c r="E21" s="56">
        <v>13</v>
      </c>
      <c r="F21" s="56">
        <v>4</v>
      </c>
      <c r="G21" s="56">
        <v>8</v>
      </c>
      <c r="H21" s="56">
        <f>IF((H2&lt;F21),G21+(F21-H2)*2,G21)</f>
        <v>16</v>
      </c>
      <c r="I21" s="56">
        <v>11</v>
      </c>
      <c r="J21" s="56">
        <v>10</v>
      </c>
      <c r="K21" s="56" t="s">
        <v>214</v>
      </c>
      <c r="L21" s="56" t="s">
        <v>350</v>
      </c>
      <c r="M21" s="56">
        <v>5</v>
      </c>
      <c r="N21" s="57">
        <f>IF(I21&gt;D4,(D4-I21)*10%,(D4-I21)*5%)</f>
        <v>-1.1000000000000001</v>
      </c>
      <c r="O21" s="65"/>
      <c r="R21" s="49" t="str">
        <f>IF(AND(D21&lt;=D2,H2&gt;0),1,"нельзя")</f>
        <v>нельзя</v>
      </c>
      <c r="S21" s="112"/>
    </row>
    <row r="22" spans="1:19" x14ac:dyDescent="0.3">
      <c r="R22" s="63"/>
      <c r="S22" s="66"/>
    </row>
    <row r="23" spans="1:19" x14ac:dyDescent="0.3">
      <c r="R23" s="112"/>
      <c r="S23" s="112"/>
    </row>
    <row r="24" spans="1:19" x14ac:dyDescent="0.3">
      <c r="R24" s="66"/>
      <c r="S24" s="66"/>
    </row>
    <row r="25" spans="1:19" x14ac:dyDescent="0.3">
      <c r="R25" s="112"/>
      <c r="S25" s="112"/>
    </row>
    <row r="26" spans="1:19" x14ac:dyDescent="0.3">
      <c r="R26" s="66"/>
      <c r="S26" s="66"/>
    </row>
    <row r="27" spans="1:19" x14ac:dyDescent="0.3">
      <c r="R27" s="112"/>
      <c r="S27" s="66"/>
    </row>
    <row r="28" spans="1:19" x14ac:dyDescent="0.3">
      <c r="R28" s="66"/>
      <c r="S28" s="66"/>
    </row>
    <row r="29" spans="1:19" x14ac:dyDescent="0.3">
      <c r="R29" s="112"/>
      <c r="S29" s="66"/>
    </row>
    <row r="30" spans="1:19" x14ac:dyDescent="0.3">
      <c r="R30" s="112"/>
      <c r="S30" s="66"/>
    </row>
  </sheetData>
  <sheetProtection sheet="1" objects="1" scenarios="1"/>
  <mergeCells count="18">
    <mergeCell ref="F2:G2"/>
    <mergeCell ref="J2:K2"/>
    <mergeCell ref="F4:G4"/>
    <mergeCell ref="J4:K4"/>
    <mergeCell ref="A7:A8"/>
    <mergeCell ref="B7:B8"/>
    <mergeCell ref="C7:C8"/>
    <mergeCell ref="D7:D8"/>
    <mergeCell ref="E7:E8"/>
    <mergeCell ref="F7:F8"/>
    <mergeCell ref="N7:N8"/>
    <mergeCell ref="O7:O8"/>
    <mergeCell ref="G7:H7"/>
    <mergeCell ref="I7:I8"/>
    <mergeCell ref="J7:J8"/>
    <mergeCell ref="K7:K8"/>
    <mergeCell ref="L7:L8"/>
    <mergeCell ref="M7:M8"/>
  </mergeCells>
  <conditionalFormatting sqref="L2:M2">
    <cfRule type="containsText" dxfId="141" priority="37" operator="containsText" text="!!!">
      <formula>NOT(ISERROR(SEARCH("!!!",L2)))</formula>
    </cfRule>
  </conditionalFormatting>
  <conditionalFormatting sqref="I9:I21">
    <cfRule type="cellIs" dxfId="140" priority="36" operator="greaterThan">
      <formula>$D$4</formula>
    </cfRule>
  </conditionalFormatting>
  <conditionalFormatting sqref="F9:F21">
    <cfRule type="cellIs" dxfId="139" priority="35" operator="greaterThan">
      <formula>$H$2</formula>
    </cfRule>
  </conditionalFormatting>
  <conditionalFormatting sqref="D9:D21">
    <cfRule type="cellIs" dxfId="138" priority="34" operator="greaterThan">
      <formula>$D$2</formula>
    </cfRule>
  </conditionalFormatting>
  <conditionalFormatting sqref="H9">
    <cfRule type="cellIs" dxfId="137" priority="33" operator="greaterThan">
      <formula>$G$9</formula>
    </cfRule>
  </conditionalFormatting>
  <conditionalFormatting sqref="H10">
    <cfRule type="cellIs" dxfId="136" priority="32" operator="greaterThan">
      <formula>$G$10</formula>
    </cfRule>
  </conditionalFormatting>
  <conditionalFormatting sqref="H11">
    <cfRule type="cellIs" dxfId="135" priority="31" operator="greaterThan">
      <formula>$G$11</formula>
    </cfRule>
  </conditionalFormatting>
  <conditionalFormatting sqref="H12">
    <cfRule type="cellIs" dxfId="134" priority="30" operator="greaterThan">
      <formula>$G$12</formula>
    </cfRule>
  </conditionalFormatting>
  <conditionalFormatting sqref="H13">
    <cfRule type="cellIs" dxfId="133" priority="29" operator="greaterThan">
      <formula>$G$13</formula>
    </cfRule>
  </conditionalFormatting>
  <conditionalFormatting sqref="H14">
    <cfRule type="cellIs" dxfId="132" priority="28" operator="greaterThan">
      <formula>$G$14</formula>
    </cfRule>
  </conditionalFormatting>
  <conditionalFormatting sqref="H15">
    <cfRule type="cellIs" dxfId="131" priority="27" operator="greaterThan">
      <formula>$G$15</formula>
    </cfRule>
  </conditionalFormatting>
  <conditionalFormatting sqref="H16">
    <cfRule type="cellIs" dxfId="130" priority="26" operator="greaterThan">
      <formula>$G$16</formula>
    </cfRule>
  </conditionalFormatting>
  <conditionalFormatting sqref="H17">
    <cfRule type="cellIs" dxfId="129" priority="25" operator="greaterThan">
      <formula>$G$17</formula>
    </cfRule>
  </conditionalFormatting>
  <conditionalFormatting sqref="H18">
    <cfRule type="cellIs" dxfId="128" priority="24" operator="greaterThan">
      <formula>$G$18</formula>
    </cfRule>
  </conditionalFormatting>
  <conditionalFormatting sqref="H19">
    <cfRule type="cellIs" dxfId="127" priority="23" operator="greaterThan">
      <formula>$G$19</formula>
    </cfRule>
  </conditionalFormatting>
  <conditionalFormatting sqref="H20">
    <cfRule type="cellIs" dxfId="126" priority="22" operator="greaterThan">
      <formula>$G$20</formula>
    </cfRule>
  </conditionalFormatting>
  <conditionalFormatting sqref="H21">
    <cfRule type="cellIs" dxfId="125" priority="21" operator="greaterThan">
      <formula>$G$21</formula>
    </cfRule>
  </conditionalFormatting>
  <conditionalFormatting sqref="O9">
    <cfRule type="expression" dxfId="124" priority="18">
      <formula>$D$9&gt;$D$2</formula>
    </cfRule>
  </conditionalFormatting>
  <conditionalFormatting sqref="O10">
    <cfRule type="expression" dxfId="123" priority="17">
      <formula>$D$10&gt;$D$2</formula>
    </cfRule>
  </conditionalFormatting>
  <conditionalFormatting sqref="O11">
    <cfRule type="expression" dxfId="122" priority="16">
      <formula>$D$11&gt;$D$2</formula>
    </cfRule>
  </conditionalFormatting>
  <conditionalFormatting sqref="O12">
    <cfRule type="expression" dxfId="121" priority="15">
      <formula>$D$12&gt;$D$2</formula>
    </cfRule>
  </conditionalFormatting>
  <conditionalFormatting sqref="O13">
    <cfRule type="expression" dxfId="120" priority="14">
      <formula>$D$13&gt;$D$2</formula>
    </cfRule>
  </conditionalFormatting>
  <conditionalFormatting sqref="O14">
    <cfRule type="expression" dxfId="119" priority="13">
      <formula>$D$14&gt;$D$2</formula>
    </cfRule>
  </conditionalFormatting>
  <conditionalFormatting sqref="O15">
    <cfRule type="expression" dxfId="118" priority="12">
      <formula>$D$15&gt;$D$2</formula>
    </cfRule>
  </conditionalFormatting>
  <conditionalFormatting sqref="O16">
    <cfRule type="expression" dxfId="117" priority="11">
      <formula>$D$16&gt;$D$2</formula>
    </cfRule>
  </conditionalFormatting>
  <conditionalFormatting sqref="O17">
    <cfRule type="expression" dxfId="116" priority="10">
      <formula>$D$17&gt;$D$2</formula>
    </cfRule>
  </conditionalFormatting>
  <conditionalFormatting sqref="O18">
    <cfRule type="expression" dxfId="115" priority="9">
      <formula>$D$18&gt;$D$2</formula>
    </cfRule>
  </conditionalFormatting>
  <conditionalFormatting sqref="O19">
    <cfRule type="expression" dxfId="114" priority="8">
      <formula>$D$19&gt;$D$2</formula>
    </cfRule>
  </conditionalFormatting>
  <conditionalFormatting sqref="O20">
    <cfRule type="expression" dxfId="113" priority="7">
      <formula>$D$20&gt;$D$2</formula>
    </cfRule>
  </conditionalFormatting>
  <conditionalFormatting sqref="O21">
    <cfRule type="expression" dxfId="112" priority="6">
      <formula>$D$21&gt;$D$2</formula>
    </cfRule>
  </conditionalFormatting>
  <conditionalFormatting sqref="N9 N12:N16 N18:N20">
    <cfRule type="cellIs" dxfId="111" priority="3" operator="lessThan">
      <formula>1</formula>
    </cfRule>
  </conditionalFormatting>
  <conditionalFormatting sqref="K9:K21">
    <cfRule type="cellIs" dxfId="110" priority="2" operator="equal">
      <formula>"+"</formula>
    </cfRule>
  </conditionalFormatting>
  <conditionalFormatting sqref="O9:O21">
    <cfRule type="expression" dxfId="109" priority="1">
      <formula>$H$2&lt;1</formula>
    </cfRule>
  </conditionalFormatting>
  <dataValidations count="27">
    <dataValidation allowBlank="1" showInputMessage="1" showErrorMessage="1" prompt="очарование цели" sqref="C9"/>
    <dataValidation type="list" errorStyle="warning" showInputMessage="1" showErrorMessage="1" sqref="H2">
      <formula1>$R$2:$R$7</formula1>
    </dataValidation>
    <dataValidation type="list" errorStyle="warning" allowBlank="1" showInputMessage="1" showErrorMessage="1" sqref="O9">
      <formula1>$R$9:$R$10</formula1>
    </dataValidation>
    <dataValidation type="list" allowBlank="1" showInputMessage="1" showErrorMessage="1" sqref="O10">
      <formula1>$S$9:$S$10</formula1>
    </dataValidation>
    <dataValidation type="list" allowBlank="1" showInputMessage="1" showErrorMessage="1" sqref="O11">
      <formula1>$R$11:$R$12</formula1>
    </dataValidation>
    <dataValidation type="list" allowBlank="1" showInputMessage="1" showErrorMessage="1" sqref="O12">
      <formula1>$S$11:$S$12</formula1>
    </dataValidation>
    <dataValidation type="list" allowBlank="1" showInputMessage="1" showErrorMessage="1" sqref="O13">
      <formula1>$R$13:$R$14</formula1>
    </dataValidation>
    <dataValidation type="list" allowBlank="1" showInputMessage="1" showErrorMessage="1" sqref="O14">
      <formula1>$S$13:$S$14</formula1>
    </dataValidation>
    <dataValidation type="list" allowBlank="1" showInputMessage="1" showErrorMessage="1" sqref="O15">
      <formula1>$R$15:$R$16</formula1>
    </dataValidation>
    <dataValidation type="list" allowBlank="1" showInputMessage="1" showErrorMessage="1" sqref="O16">
      <formula1>$S$15:$S$16</formula1>
    </dataValidation>
    <dataValidation type="list" allowBlank="1" showInputMessage="1" showErrorMessage="1" sqref="O17">
      <formula1>$R$17:$R$18</formula1>
    </dataValidation>
    <dataValidation type="list" allowBlank="1" showInputMessage="1" showErrorMessage="1" sqref="O18">
      <formula1>$S$17:$S$18</formula1>
    </dataValidation>
    <dataValidation type="list" allowBlank="1" showInputMessage="1" showErrorMessage="1" sqref="O19">
      <formula1>$R$19:$R$20</formula1>
    </dataValidation>
    <dataValidation type="list" allowBlank="1" showInputMessage="1" showErrorMessage="1" sqref="O20">
      <formula1>$S$19:$S$20</formula1>
    </dataValidation>
    <dataValidation type="list" allowBlank="1" showInputMessage="1" showErrorMessage="1" sqref="O21">
      <formula1>$R$21:$R$22</formula1>
    </dataValidation>
    <dataValidation allowBlank="1" showInputMessage="1" showErrorMessage="1" prompt="невидимость;_x000a_книги нет в свободной продаже" sqref="C20"/>
    <dataValidation allowBlank="1" showInputMessage="1" showErrorMessage="1" prompt="вы телепортируетесь, оставляя на своем месте дымовую завесу" sqref="C10"/>
    <dataValidation allowBlank="1" showInputMessage="1" showErrorMessage="1" prompt="серия быстрых тычков, наносящая колющий урон" sqref="C11"/>
    <dataValidation allowBlank="1" showInputMessage="1" showErrorMessage="1" prompt="ослепление цели; колющий урон" sqref="C12"/>
    <dataValidation allowBlank="1" showInputMessage="1" showErrorMessage="1" prompt="кратковременное ускорение" sqref="C13"/>
    <dataValidation allowBlank="1" showInputMessage="1" showErrorMessage="1" prompt="вызов кровотечения; колющий урон" sqref="C14"/>
    <dataValidation allowBlank="1" showInputMessage="1" showErrorMessage="1" prompt="ослабление цели; колющий урон" sqref="C15"/>
    <dataValidation allowBlank="1" showInputMessage="1" showErrorMessage="1" prompt="оглушение цели; колющий урон" sqref="C16"/>
    <dataValidation allowBlank="1" showInputMessage="1" showErrorMessage="1" prompt="вы исцеляетесь от кровотечения, увечья, слепоты и ослабления" sqref="C17"/>
    <dataValidation allowBlank="1" showInputMessage="1" showErrorMessage="1" prompt="сбитие цели с ног; дробящий урон" sqref="C18"/>
    <dataValidation allowBlank="1" showInputMessage="1" showErrorMessage="1" prompt="отравление цели; колющий урон" sqref="C19"/>
    <dataValidation allowBlank="1" showInputMessage="1" showErrorMessage="1" prompt="механическая бомба с дистанционным управлением (защита от воздуха +100%, яда +100%, огня -50%, рубящего, колющего и дробящего урона -50%; после смерти остается горящая поверхность)" sqref="C21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Основное</vt:lpstr>
      <vt:lpstr>Аэротеургия</vt:lpstr>
      <vt:lpstr>Геомантия</vt:lpstr>
      <vt:lpstr>Гидрософистика</vt:lpstr>
      <vt:lpstr>Колдовство</vt:lpstr>
      <vt:lpstr>Ополченец</vt:lpstr>
      <vt:lpstr>Опытный стрелок</vt:lpstr>
      <vt:lpstr>Пирокинетика</vt:lpstr>
      <vt:lpstr>Преступник</vt:lpstr>
      <vt:lpstr>Эффекты</vt:lpstr>
      <vt:lpstr>Бафы</vt:lpstr>
      <vt:lpstr>Дебафы</vt:lpstr>
      <vt:lpstr>Поверхности</vt:lpstr>
      <vt:lpstr>Поверхности1</vt:lpstr>
      <vt:lpstr>Поверхности2</vt:lpstr>
      <vt:lpstr>Поверхности3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2014-11-17T02:43:44Z</dcterms:created>
  <dcterms:modified xsi:type="dcterms:W3CDTF">2015-02-11T12:26:38Z</dcterms:modified>
</cp:coreProperties>
</file>